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a.teearu\Documents\eelarvestamine\"/>
    </mc:Choice>
  </mc:AlternateContent>
  <bookViews>
    <workbookView xWindow="0" yWindow="0" windowWidth="24000" windowHeight="9435" tabRatio="757" activeTab="7"/>
  </bookViews>
  <sheets>
    <sheet name="eeldused" sheetId="7" r:id="rId1"/>
    <sheet name="aruanded" sheetId="8" r:id="rId2"/>
    <sheet name="2018 detailne KA" sheetId="1" r:id="rId3"/>
    <sheet name="müügiprognoos" sheetId="2" r:id="rId4"/>
    <sheet name="kaubakulu ja varud" sheetId="3" r:id="rId5"/>
    <sheet name="tegevuskulud" sheetId="6" r:id="rId6"/>
    <sheet name="investeeringud" sheetId="10" r:id="rId7"/>
    <sheet name="rahakäive" sheetId="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  <c r="D31" i="4"/>
  <c r="C51" i="8"/>
  <c r="C53" i="8" s="1"/>
  <c r="C50" i="8"/>
  <c r="C52" i="8"/>
  <c r="E13" i="1"/>
  <c r="F13" i="1"/>
  <c r="G13" i="1"/>
  <c r="H13" i="1"/>
  <c r="I13" i="1"/>
  <c r="J13" i="1"/>
  <c r="K13" i="1"/>
  <c r="L13" i="1"/>
  <c r="M13" i="1"/>
  <c r="N13" i="1"/>
  <c r="O13" i="1"/>
  <c r="D13" i="1"/>
  <c r="L26" i="4"/>
  <c r="L27" i="4"/>
  <c r="K26" i="4"/>
  <c r="G26" i="4"/>
  <c r="G27" i="4"/>
  <c r="K27" i="4"/>
  <c r="J26" i="4"/>
  <c r="J27" i="4" s="1"/>
  <c r="I26" i="4"/>
  <c r="H26" i="4"/>
  <c r="H27" i="4"/>
  <c r="F26" i="4"/>
  <c r="F27" i="4" s="1"/>
  <c r="I27" i="4"/>
  <c r="M27" i="4"/>
  <c r="N27" i="4"/>
  <c r="O27" i="4"/>
  <c r="P25" i="4"/>
  <c r="P26" i="4" l="1"/>
  <c r="P27" i="4" s="1"/>
  <c r="C6" i="4"/>
  <c r="D6" i="4"/>
  <c r="F22" i="4"/>
  <c r="F29" i="4" s="1"/>
  <c r="C16" i="3"/>
  <c r="R16" i="3"/>
  <c r="C5" i="4"/>
  <c r="E5" i="4"/>
  <c r="E6" i="4" s="1"/>
  <c r="F5" i="4"/>
  <c r="F6" i="4" s="1"/>
  <c r="G5" i="4"/>
  <c r="G6" i="4" s="1"/>
  <c r="G7" i="4" s="1"/>
  <c r="H5" i="4"/>
  <c r="H6" i="4" s="1"/>
  <c r="I5" i="4"/>
  <c r="I6" i="4" s="1"/>
  <c r="I7" i="4" s="1"/>
  <c r="J5" i="4"/>
  <c r="J6" i="4" s="1"/>
  <c r="K5" i="4"/>
  <c r="K6" i="4" s="1"/>
  <c r="L5" i="4"/>
  <c r="L6" i="4" s="1"/>
  <c r="M5" i="4"/>
  <c r="M6" i="4" s="1"/>
  <c r="N5" i="4"/>
  <c r="O5" i="4"/>
  <c r="O6" i="4" s="1"/>
  <c r="Q5" i="4"/>
  <c r="Q6" i="4" s="1"/>
  <c r="D3" i="4"/>
  <c r="D17" i="4"/>
  <c r="D18" i="4" s="1"/>
  <c r="C18" i="4" s="1"/>
  <c r="Q17" i="4"/>
  <c r="Q18" i="4" s="1"/>
  <c r="F17" i="4"/>
  <c r="F18" i="4" s="1"/>
  <c r="G17" i="4"/>
  <c r="G18" i="4" s="1"/>
  <c r="H17" i="4"/>
  <c r="H18" i="4" s="1"/>
  <c r="I17" i="4"/>
  <c r="I18" i="4" s="1"/>
  <c r="J17" i="4"/>
  <c r="J18" i="4" s="1"/>
  <c r="K17" i="4"/>
  <c r="K18" i="4" s="1"/>
  <c r="L17" i="4"/>
  <c r="L18" i="4" s="1"/>
  <c r="M17" i="4"/>
  <c r="M18" i="4" s="1"/>
  <c r="N17" i="4"/>
  <c r="N18" i="4" s="1"/>
  <c r="O17" i="4"/>
  <c r="O18" i="4" s="1"/>
  <c r="E17" i="4"/>
  <c r="E18" i="4" s="1"/>
  <c r="C57" i="8"/>
  <c r="D32" i="8"/>
  <c r="B20" i="8"/>
  <c r="C20" i="8"/>
  <c r="E4" i="10"/>
  <c r="B7" i="8"/>
  <c r="B9" i="8"/>
  <c r="B10" i="8"/>
  <c r="B6" i="8"/>
  <c r="C9" i="8"/>
  <c r="C10" i="8"/>
  <c r="C8" i="1"/>
  <c r="B8" i="8" s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B12" i="3"/>
  <c r="D14" i="2"/>
  <c r="E14" i="2"/>
  <c r="F14" i="2"/>
  <c r="G14" i="2"/>
  <c r="H14" i="2"/>
  <c r="I14" i="2"/>
  <c r="J14" i="2"/>
  <c r="K14" i="2"/>
  <c r="L14" i="2"/>
  <c r="M14" i="2"/>
  <c r="N14" i="2"/>
  <c r="D13" i="4"/>
  <c r="D14" i="4" s="1"/>
  <c r="F10" i="4"/>
  <c r="G10" i="4" s="1"/>
  <c r="H10" i="4" s="1"/>
  <c r="I10" i="4" s="1"/>
  <c r="J10" i="4" s="1"/>
  <c r="K10" i="4" s="1"/>
  <c r="L10" i="4" s="1"/>
  <c r="M10" i="4" s="1"/>
  <c r="N10" i="4" s="1"/>
  <c r="O10" i="4" s="1"/>
  <c r="Q10" i="4" s="1"/>
  <c r="E9" i="4"/>
  <c r="F9" i="4" s="1"/>
  <c r="F11" i="4" s="1"/>
  <c r="D10" i="4"/>
  <c r="E10" i="4" s="1"/>
  <c r="D9" i="4"/>
  <c r="C9" i="4" s="1"/>
  <c r="B29" i="8" s="1"/>
  <c r="E4" i="6"/>
  <c r="F4" i="6"/>
  <c r="G4" i="6"/>
  <c r="H4" i="6"/>
  <c r="I4" i="6"/>
  <c r="J4" i="6"/>
  <c r="K4" i="6"/>
  <c r="L4" i="6"/>
  <c r="M4" i="6"/>
  <c r="N4" i="6"/>
  <c r="O4" i="6"/>
  <c r="D4" i="6"/>
  <c r="D26" i="6"/>
  <c r="C26" i="6"/>
  <c r="C4" i="6"/>
  <c r="F4" i="10"/>
  <c r="F6" i="10" s="1"/>
  <c r="B23" i="8"/>
  <c r="B22" i="8"/>
  <c r="T5" i="10"/>
  <c r="T6" i="10" s="1"/>
  <c r="C22" i="8" s="1"/>
  <c r="I5" i="10"/>
  <c r="J5" i="10" s="1"/>
  <c r="K5" i="10" s="1"/>
  <c r="L5" i="10" s="1"/>
  <c r="M5" i="10" s="1"/>
  <c r="N5" i="10" s="1"/>
  <c r="O5" i="10" s="1"/>
  <c r="P5" i="10" s="1"/>
  <c r="Q5" i="10" s="1"/>
  <c r="R5" i="10" s="1"/>
  <c r="T4" i="10"/>
  <c r="G4" i="10"/>
  <c r="G6" i="10" s="1"/>
  <c r="D8" i="1" s="1"/>
  <c r="D10" i="1"/>
  <c r="E10" i="1"/>
  <c r="F10" i="1"/>
  <c r="G10" i="1"/>
  <c r="H10" i="1"/>
  <c r="I10" i="1"/>
  <c r="J10" i="1"/>
  <c r="K10" i="1"/>
  <c r="L10" i="1"/>
  <c r="M10" i="1"/>
  <c r="N10" i="1"/>
  <c r="O10" i="1"/>
  <c r="C10" i="1"/>
  <c r="Q20" i="6"/>
  <c r="P20" i="6"/>
  <c r="D9" i="1"/>
  <c r="E9" i="1"/>
  <c r="F9" i="1"/>
  <c r="G9" i="1"/>
  <c r="H9" i="1"/>
  <c r="I9" i="1"/>
  <c r="J9" i="1"/>
  <c r="K9" i="1"/>
  <c r="L9" i="1"/>
  <c r="M9" i="1"/>
  <c r="N9" i="1"/>
  <c r="O9" i="1"/>
  <c r="C9" i="1"/>
  <c r="C7" i="1"/>
  <c r="C6" i="1"/>
  <c r="P15" i="6"/>
  <c r="P16" i="6"/>
  <c r="P14" i="6"/>
  <c r="Q14" i="6" s="1"/>
  <c r="P9" i="6"/>
  <c r="P10" i="6"/>
  <c r="Q15" i="6"/>
  <c r="Q16" i="6"/>
  <c r="Q10" i="6"/>
  <c r="Q9" i="6"/>
  <c r="C11" i="6"/>
  <c r="C17" i="6"/>
  <c r="C2" i="1"/>
  <c r="D17" i="6"/>
  <c r="E17" i="6"/>
  <c r="F17" i="6"/>
  <c r="G17" i="6"/>
  <c r="H17" i="6"/>
  <c r="I17" i="6"/>
  <c r="J17" i="6"/>
  <c r="K17" i="6"/>
  <c r="L17" i="6"/>
  <c r="M17" i="6"/>
  <c r="N17" i="6"/>
  <c r="O17" i="6"/>
  <c r="P8" i="6"/>
  <c r="Q8" i="6" s="1"/>
  <c r="D11" i="6"/>
  <c r="D7" i="1" s="1"/>
  <c r="E11" i="6"/>
  <c r="E7" i="1" s="1"/>
  <c r="F11" i="6"/>
  <c r="F7" i="1" s="1"/>
  <c r="G11" i="6"/>
  <c r="G7" i="1" s="1"/>
  <c r="H11" i="6"/>
  <c r="H7" i="1" s="1"/>
  <c r="I11" i="6"/>
  <c r="I7" i="1" s="1"/>
  <c r="J11" i="6"/>
  <c r="J7" i="1" s="1"/>
  <c r="K11" i="6"/>
  <c r="K7" i="1" s="1"/>
  <c r="L11" i="6"/>
  <c r="L7" i="1" s="1"/>
  <c r="M11" i="6"/>
  <c r="M7" i="1" s="1"/>
  <c r="N11" i="6"/>
  <c r="N7" i="1" s="1"/>
  <c r="O11" i="6"/>
  <c r="O7" i="1" s="1"/>
  <c r="P3" i="6"/>
  <c r="C3" i="6"/>
  <c r="C5" i="6" s="1"/>
  <c r="B10" i="3"/>
  <c r="B5" i="3"/>
  <c r="C3" i="1" s="1"/>
  <c r="C4" i="1" s="1"/>
  <c r="C5" i="1" s="1"/>
  <c r="B10" i="2"/>
  <c r="B5" i="2"/>
  <c r="D20" i="8" l="1"/>
  <c r="C43" i="8" s="1"/>
  <c r="C17" i="4"/>
  <c r="D11" i="4"/>
  <c r="C14" i="4"/>
  <c r="D29" i="4"/>
  <c r="D33" i="4" s="1"/>
  <c r="P18" i="4"/>
  <c r="M7" i="4"/>
  <c r="E7" i="4"/>
  <c r="N7" i="4"/>
  <c r="D15" i="4"/>
  <c r="O7" i="4"/>
  <c r="N6" i="4"/>
  <c r="P5" i="4"/>
  <c r="S5" i="4" s="1"/>
  <c r="E11" i="4"/>
  <c r="C29" i="4"/>
  <c r="H7" i="4"/>
  <c r="F7" i="4"/>
  <c r="L7" i="4"/>
  <c r="D7" i="4"/>
  <c r="C7" i="4"/>
  <c r="Q7" i="4"/>
  <c r="C19" i="8" s="1"/>
  <c r="M13" i="4"/>
  <c r="M14" i="4" s="1"/>
  <c r="M29" i="4" s="1"/>
  <c r="M33" i="4" s="1"/>
  <c r="D22" i="8"/>
  <c r="C47" i="8" s="1"/>
  <c r="C48" i="8" s="1"/>
  <c r="F23" i="4"/>
  <c r="C11" i="1"/>
  <c r="D11" i="1"/>
  <c r="J13" i="4"/>
  <c r="J14" i="4" s="1"/>
  <c r="J29" i="4" s="1"/>
  <c r="J33" i="4" s="1"/>
  <c r="K13" i="4"/>
  <c r="K14" i="4" s="1"/>
  <c r="K29" i="4" s="1"/>
  <c r="K33" i="4" s="1"/>
  <c r="E13" i="4"/>
  <c r="E14" i="4" s="1"/>
  <c r="I13" i="4"/>
  <c r="I14" i="4" s="1"/>
  <c r="I29" i="4" s="1"/>
  <c r="I33" i="4" s="1"/>
  <c r="Q13" i="4"/>
  <c r="Q14" i="4" s="1"/>
  <c r="Q29" i="4" s="1"/>
  <c r="H13" i="4"/>
  <c r="H14" i="4" s="1"/>
  <c r="H29" i="4" s="1"/>
  <c r="H33" i="4" s="1"/>
  <c r="L13" i="4"/>
  <c r="L14" i="4" s="1"/>
  <c r="L29" i="4" s="1"/>
  <c r="L33" i="4" s="1"/>
  <c r="B24" i="8"/>
  <c r="O13" i="4"/>
  <c r="O14" i="4" s="1"/>
  <c r="O29" i="4" s="1"/>
  <c r="O33" i="4" s="1"/>
  <c r="G13" i="4"/>
  <c r="G14" i="4" s="1"/>
  <c r="G29" i="4" s="1"/>
  <c r="G33" i="4" s="1"/>
  <c r="N13" i="4"/>
  <c r="N14" i="4" s="1"/>
  <c r="F13" i="4"/>
  <c r="F14" i="4" s="1"/>
  <c r="F33" i="4" s="1"/>
  <c r="P10" i="1"/>
  <c r="Q10" i="1" s="1"/>
  <c r="P9" i="1"/>
  <c r="Q9" i="1" s="1"/>
  <c r="B3" i="8"/>
  <c r="C10" i="4"/>
  <c r="C11" i="4" s="1"/>
  <c r="C13" i="4"/>
  <c r="C15" i="4" s="1"/>
  <c r="G9" i="4"/>
  <c r="G11" i="4" s="1"/>
  <c r="P10" i="4"/>
  <c r="C15" i="1"/>
  <c r="H4" i="10"/>
  <c r="S5" i="10"/>
  <c r="U5" i="10" s="1"/>
  <c r="V5" i="10" s="1"/>
  <c r="P7" i="1"/>
  <c r="P17" i="6"/>
  <c r="Q17" i="6" s="1"/>
  <c r="P11" i="6"/>
  <c r="Q11" i="6" s="1"/>
  <c r="Q3" i="6"/>
  <c r="B12" i="2"/>
  <c r="O5" i="6"/>
  <c r="O6" i="1" s="1"/>
  <c r="N5" i="6"/>
  <c r="N6" i="1" s="1"/>
  <c r="M5" i="6"/>
  <c r="M6" i="1" s="1"/>
  <c r="L5" i="6"/>
  <c r="L6" i="1" s="1"/>
  <c r="K5" i="6"/>
  <c r="K6" i="1" s="1"/>
  <c r="J5" i="6"/>
  <c r="J6" i="1" s="1"/>
  <c r="I5" i="6"/>
  <c r="I6" i="1" s="1"/>
  <c r="H5" i="6"/>
  <c r="H6" i="1" s="1"/>
  <c r="G5" i="6"/>
  <c r="G6" i="1" s="1"/>
  <c r="F5" i="6"/>
  <c r="F6" i="1" s="1"/>
  <c r="E5" i="6"/>
  <c r="E6" i="1" s="1"/>
  <c r="D8" i="2"/>
  <c r="D3" i="2"/>
  <c r="B4" i="8"/>
  <c r="B5" i="8" s="1"/>
  <c r="C8" i="3"/>
  <c r="C3" i="3"/>
  <c r="P14" i="4" l="1"/>
  <c r="T29" i="4"/>
  <c r="E29" i="4"/>
  <c r="E33" i="4" s="1"/>
  <c r="N29" i="4"/>
  <c r="N33" i="4" s="1"/>
  <c r="P6" i="4"/>
  <c r="P29" i="4" s="1"/>
  <c r="B19" i="8"/>
  <c r="D19" i="8" s="1"/>
  <c r="C42" i="8" s="1"/>
  <c r="T7" i="4"/>
  <c r="P7" i="4"/>
  <c r="K7" i="4"/>
  <c r="J7" i="4"/>
  <c r="F15" i="4"/>
  <c r="M15" i="4"/>
  <c r="J15" i="4"/>
  <c r="I15" i="4"/>
  <c r="G15" i="4"/>
  <c r="O15" i="4"/>
  <c r="N15" i="4"/>
  <c r="K15" i="4"/>
  <c r="L15" i="4"/>
  <c r="H15" i="4"/>
  <c r="E15" i="4"/>
  <c r="P13" i="4"/>
  <c r="S13" i="4" s="1"/>
  <c r="Q7" i="1"/>
  <c r="C7" i="8"/>
  <c r="H9" i="4"/>
  <c r="H11" i="4" s="1"/>
  <c r="H6" i="10"/>
  <c r="E8" i="1" s="1"/>
  <c r="I4" i="10"/>
  <c r="E8" i="2"/>
  <c r="F8" i="2" s="1"/>
  <c r="G8" i="2" s="1"/>
  <c r="H8" i="2" s="1"/>
  <c r="I8" i="2" s="1"/>
  <c r="J8" i="2" s="1"/>
  <c r="K8" i="2" s="1"/>
  <c r="L8" i="2" s="1"/>
  <c r="M8" i="2" s="1"/>
  <c r="N8" i="2" s="1"/>
  <c r="E3" i="2"/>
  <c r="F3" i="2" s="1"/>
  <c r="G3" i="2" s="1"/>
  <c r="H3" i="2" s="1"/>
  <c r="I3" i="2" s="1"/>
  <c r="J3" i="2" s="1"/>
  <c r="K3" i="2" s="1"/>
  <c r="L3" i="2" s="1"/>
  <c r="M3" i="2" s="1"/>
  <c r="N3" i="2" s="1"/>
  <c r="D5" i="6"/>
  <c r="P4" i="6"/>
  <c r="B11" i="8"/>
  <c r="B14" i="8" s="1"/>
  <c r="D8" i="3"/>
  <c r="D10" i="3" s="1"/>
  <c r="D3" i="3"/>
  <c r="D5" i="3" s="1"/>
  <c r="F3" i="3"/>
  <c r="F5" i="3" s="1"/>
  <c r="P13" i="1"/>
  <c r="C13" i="8" s="1"/>
  <c r="C5" i="3"/>
  <c r="C10" i="3"/>
  <c r="D10" i="2"/>
  <c r="C10" i="2"/>
  <c r="D5" i="2"/>
  <c r="E5" i="2"/>
  <c r="F5" i="2"/>
  <c r="G5" i="2"/>
  <c r="C5" i="2"/>
  <c r="Q15" i="4" l="1"/>
  <c r="T15" i="4" s="1"/>
  <c r="P15" i="4"/>
  <c r="E11" i="1"/>
  <c r="B15" i="8"/>
  <c r="B34" i="8"/>
  <c r="B21" i="8"/>
  <c r="B25" i="8" s="1"/>
  <c r="C17" i="3"/>
  <c r="B15" i="3"/>
  <c r="D17" i="3"/>
  <c r="I9" i="4"/>
  <c r="I11" i="4" s="1"/>
  <c r="P5" i="6"/>
  <c r="Q5" i="6" s="1"/>
  <c r="D6" i="1"/>
  <c r="P6" i="1" s="1"/>
  <c r="J4" i="10"/>
  <c r="I6" i="10"/>
  <c r="F8" i="1" s="1"/>
  <c r="F11" i="1" s="1"/>
  <c r="F10" i="2"/>
  <c r="O8" i="2"/>
  <c r="P8" i="2" s="1"/>
  <c r="E8" i="3"/>
  <c r="E10" i="3" s="1"/>
  <c r="E10" i="2"/>
  <c r="E12" i="2" s="1"/>
  <c r="E3" i="3"/>
  <c r="O3" i="2"/>
  <c r="P3" i="2" s="1"/>
  <c r="F12" i="2"/>
  <c r="F8" i="3"/>
  <c r="F10" i="3" s="1"/>
  <c r="G3" i="1" s="1"/>
  <c r="G3" i="3"/>
  <c r="G5" i="3" s="1"/>
  <c r="D12" i="2"/>
  <c r="C12" i="2"/>
  <c r="E3" i="1"/>
  <c r="B35" i="8" l="1"/>
  <c r="C33" i="8"/>
  <c r="Q6" i="1"/>
  <c r="C6" i="8"/>
  <c r="D19" i="4"/>
  <c r="D16" i="3"/>
  <c r="F17" i="3"/>
  <c r="J9" i="4"/>
  <c r="J11" i="4" s="1"/>
  <c r="K4" i="10"/>
  <c r="J6" i="10"/>
  <c r="G8" i="1" s="1"/>
  <c r="G11" i="1" s="1"/>
  <c r="E5" i="3"/>
  <c r="G8" i="3"/>
  <c r="G10" i="3" s="1"/>
  <c r="H3" i="1" s="1"/>
  <c r="G10" i="2"/>
  <c r="H3" i="3"/>
  <c r="H5" i="3" s="1"/>
  <c r="H5" i="2"/>
  <c r="G2" i="1"/>
  <c r="G4" i="1" s="1"/>
  <c r="F2" i="1"/>
  <c r="E2" i="1"/>
  <c r="E4" i="1" s="1"/>
  <c r="D3" i="1"/>
  <c r="D2" i="1"/>
  <c r="B28" i="8" l="1"/>
  <c r="F19" i="4"/>
  <c r="E16" i="3"/>
  <c r="G19" i="4" s="1"/>
  <c r="G17" i="3"/>
  <c r="F3" i="1"/>
  <c r="F4" i="1" s="1"/>
  <c r="F15" i="1" s="1"/>
  <c r="E17" i="3"/>
  <c r="C19" i="4"/>
  <c r="K9" i="4"/>
  <c r="K11" i="4" s="1"/>
  <c r="L4" i="10"/>
  <c r="K6" i="10"/>
  <c r="H8" i="1" s="1"/>
  <c r="E15" i="1"/>
  <c r="E5" i="1"/>
  <c r="G15" i="1"/>
  <c r="G5" i="1"/>
  <c r="G12" i="2"/>
  <c r="H2" i="1" s="1"/>
  <c r="H4" i="1" s="1"/>
  <c r="H8" i="3"/>
  <c r="H10" i="2"/>
  <c r="I3" i="3"/>
  <c r="I5" i="3" s="1"/>
  <c r="I5" i="2"/>
  <c r="D4" i="1"/>
  <c r="D5" i="1" s="1"/>
  <c r="B27" i="8" l="1"/>
  <c r="H11" i="1"/>
  <c r="H15" i="1" s="1"/>
  <c r="C18" i="3"/>
  <c r="I17" i="3"/>
  <c r="G16" i="3"/>
  <c r="L9" i="4"/>
  <c r="L11" i="4" s="1"/>
  <c r="M4" i="10"/>
  <c r="L6" i="10"/>
  <c r="I8" i="1" s="1"/>
  <c r="I11" i="1" s="1"/>
  <c r="F5" i="1"/>
  <c r="H10" i="3"/>
  <c r="H5" i="1"/>
  <c r="H12" i="2"/>
  <c r="I2" i="1" s="1"/>
  <c r="I8" i="3"/>
  <c r="I10" i="3" s="1"/>
  <c r="J3" i="1" s="1"/>
  <c r="I10" i="2"/>
  <c r="J3" i="3"/>
  <c r="J5" i="2"/>
  <c r="B30" i="8" l="1"/>
  <c r="E3" i="4"/>
  <c r="E31" i="4" s="1"/>
  <c r="I3" i="1"/>
  <c r="H17" i="3"/>
  <c r="F16" i="3"/>
  <c r="D18" i="3"/>
  <c r="E18" i="3" s="1"/>
  <c r="F18" i="3" s="1"/>
  <c r="G18" i="3" s="1"/>
  <c r="E19" i="4"/>
  <c r="M9" i="4"/>
  <c r="M11" i="4" s="1"/>
  <c r="N4" i="10"/>
  <c r="M6" i="10"/>
  <c r="J8" i="1" s="1"/>
  <c r="J11" i="1" s="1"/>
  <c r="I4" i="1"/>
  <c r="I15" i="1" s="1"/>
  <c r="J5" i="3"/>
  <c r="J8" i="3"/>
  <c r="J10" i="3" s="1"/>
  <c r="J10" i="2"/>
  <c r="J12" i="2" s="1"/>
  <c r="K2" i="1" s="1"/>
  <c r="I12" i="2"/>
  <c r="J2" i="1" s="1"/>
  <c r="J4" i="1" s="1"/>
  <c r="K3" i="3"/>
  <c r="K5" i="3" s="1"/>
  <c r="K5" i="2"/>
  <c r="D15" i="1"/>
  <c r="B36" i="8" l="1"/>
  <c r="B37" i="8" s="1"/>
  <c r="I19" i="4"/>
  <c r="J17" i="3"/>
  <c r="H16" i="3"/>
  <c r="J19" i="4" s="1"/>
  <c r="K17" i="3"/>
  <c r="N9" i="4"/>
  <c r="N11" i="4" s="1"/>
  <c r="O4" i="10"/>
  <c r="N6" i="10"/>
  <c r="K8" i="1" s="1"/>
  <c r="K11" i="1" s="1"/>
  <c r="I5" i="1"/>
  <c r="K3" i="1"/>
  <c r="K4" i="1" s="1"/>
  <c r="J15" i="1"/>
  <c r="J5" i="1"/>
  <c r="K8" i="3"/>
  <c r="K10" i="3" s="1"/>
  <c r="L3" i="1" s="1"/>
  <c r="K10" i="2"/>
  <c r="K12" i="2" s="1"/>
  <c r="L2" i="1" s="1"/>
  <c r="L3" i="3"/>
  <c r="L5" i="3" s="1"/>
  <c r="L5" i="2"/>
  <c r="F3" i="4" l="1"/>
  <c r="F31" i="4" s="1"/>
  <c r="H19" i="4"/>
  <c r="I16" i="3"/>
  <c r="H18" i="3"/>
  <c r="O9" i="4"/>
  <c r="O11" i="4" s="1"/>
  <c r="P4" i="10"/>
  <c r="O6" i="10"/>
  <c r="L8" i="1" s="1"/>
  <c r="L11" i="1" s="1"/>
  <c r="K15" i="1"/>
  <c r="K5" i="1"/>
  <c r="L8" i="3"/>
  <c r="L10" i="3" s="1"/>
  <c r="L17" i="3" s="1"/>
  <c r="L10" i="2"/>
  <c r="L12" i="2" s="1"/>
  <c r="M2" i="1" s="1"/>
  <c r="M3" i="3"/>
  <c r="M5" i="3" s="1"/>
  <c r="M5" i="2"/>
  <c r="L4" i="1"/>
  <c r="L5" i="1" s="1"/>
  <c r="G3" i="4" l="1"/>
  <c r="G31" i="4" s="1"/>
  <c r="I18" i="3"/>
  <c r="J16" i="3"/>
  <c r="Q9" i="4"/>
  <c r="P9" i="4"/>
  <c r="P11" i="4" s="1"/>
  <c r="Q4" i="10"/>
  <c r="P6" i="10"/>
  <c r="M8" i="1" s="1"/>
  <c r="M11" i="1" s="1"/>
  <c r="M3" i="1"/>
  <c r="M4" i="1" s="1"/>
  <c r="M8" i="3"/>
  <c r="M10" i="3" s="1"/>
  <c r="N3" i="1" s="1"/>
  <c r="M10" i="2"/>
  <c r="M12" i="2" s="1"/>
  <c r="N2" i="1" s="1"/>
  <c r="N3" i="3"/>
  <c r="N5" i="2"/>
  <c r="Q11" i="4" l="1"/>
  <c r="C29" i="8"/>
  <c r="D29" i="8" s="1"/>
  <c r="H3" i="4"/>
  <c r="H31" i="4" s="1"/>
  <c r="K16" i="3"/>
  <c r="J18" i="3"/>
  <c r="K19" i="4"/>
  <c r="M17" i="3"/>
  <c r="R4" i="10"/>
  <c r="Q6" i="10"/>
  <c r="N8" i="1" s="1"/>
  <c r="N11" i="1" s="1"/>
  <c r="N5" i="3"/>
  <c r="O3" i="3"/>
  <c r="P3" i="3" s="1"/>
  <c r="M15" i="1"/>
  <c r="M5" i="1"/>
  <c r="N4" i="1"/>
  <c r="N8" i="3"/>
  <c r="N10" i="2"/>
  <c r="O10" i="2" s="1"/>
  <c r="P10" i="2" s="1"/>
  <c r="O5" i="3"/>
  <c r="P5" i="3" s="1"/>
  <c r="O5" i="2"/>
  <c r="P5" i="2" s="1"/>
  <c r="L15" i="1"/>
  <c r="T11" i="4" l="1"/>
  <c r="S11" i="4"/>
  <c r="I3" i="4"/>
  <c r="I31" i="4" s="1"/>
  <c r="L19" i="4"/>
  <c r="K18" i="3"/>
  <c r="R6" i="10"/>
  <c r="O8" i="1" s="1"/>
  <c r="S4" i="10"/>
  <c r="N10" i="3"/>
  <c r="O10" i="3" s="1"/>
  <c r="P10" i="3" s="1"/>
  <c r="O8" i="3"/>
  <c r="P8" i="3" s="1"/>
  <c r="N15" i="1"/>
  <c r="N5" i="1"/>
  <c r="N12" i="2"/>
  <c r="O2" i="1" s="1"/>
  <c r="P2" i="1" s="1"/>
  <c r="O12" i="2"/>
  <c r="P12" i="2" s="1"/>
  <c r="J3" i="4" l="1"/>
  <c r="M19" i="4"/>
  <c r="O11" i="1"/>
  <c r="P8" i="1"/>
  <c r="Q2" i="1"/>
  <c r="C2" i="8"/>
  <c r="L18" i="3"/>
  <c r="L16" i="3"/>
  <c r="N17" i="3"/>
  <c r="P17" i="3" s="1"/>
  <c r="S6" i="10"/>
  <c r="U4" i="10"/>
  <c r="O3" i="1"/>
  <c r="P3" i="1" s="1"/>
  <c r="J31" i="4" l="1"/>
  <c r="K3" i="4" s="1"/>
  <c r="K31" i="4" s="1"/>
  <c r="L3" i="4" s="1"/>
  <c r="L31" i="4" s="1"/>
  <c r="C8" i="8"/>
  <c r="C41" i="8" s="1"/>
  <c r="Q8" i="1"/>
  <c r="P11" i="1"/>
  <c r="Q3" i="1"/>
  <c r="C3" i="8"/>
  <c r="C4" i="8" s="1"/>
  <c r="M18" i="3"/>
  <c r="P12" i="3"/>
  <c r="M16" i="3"/>
  <c r="V4" i="10"/>
  <c r="V6" i="10" s="1"/>
  <c r="U6" i="10"/>
  <c r="C23" i="8" s="1"/>
  <c r="O4" i="1"/>
  <c r="O5" i="1" s="1"/>
  <c r="M3" i="4" l="1"/>
  <c r="M31" i="4" s="1"/>
  <c r="D23" i="8"/>
  <c r="C24" i="8"/>
  <c r="C5" i="8"/>
  <c r="C11" i="8"/>
  <c r="N16" i="3"/>
  <c r="N19" i="4"/>
  <c r="O15" i="1"/>
  <c r="P15" i="1" s="1"/>
  <c r="P4" i="1"/>
  <c r="N3" i="4" l="1"/>
  <c r="N31" i="4" s="1"/>
  <c r="C14" i="8"/>
  <c r="C40" i="8"/>
  <c r="P16" i="3"/>
  <c r="O19" i="4"/>
  <c r="P17" i="4"/>
  <c r="S17" i="4" s="1"/>
  <c r="N18" i="3"/>
  <c r="P18" i="3" s="1"/>
  <c r="P5" i="1"/>
  <c r="Q4" i="1"/>
  <c r="O3" i="4" l="1"/>
  <c r="P19" i="4"/>
  <c r="C15" i="8"/>
  <c r="C34" i="8"/>
  <c r="D34" i="8" s="1"/>
  <c r="Q15" i="1"/>
  <c r="Q11" i="1"/>
  <c r="O31" i="4" l="1"/>
  <c r="C18" i="8" s="1"/>
  <c r="Q19" i="4"/>
  <c r="C28" i="8"/>
  <c r="D28" i="8" s="1"/>
  <c r="C35" i="8"/>
  <c r="C58" i="8" l="1"/>
  <c r="C59" i="8" s="1"/>
  <c r="C21" i="8"/>
  <c r="C25" i="8" s="1"/>
  <c r="D18" i="8"/>
  <c r="C27" i="8"/>
  <c r="C30" i="8" s="1"/>
  <c r="C36" i="8" s="1"/>
  <c r="T19" i="4"/>
  <c r="C37" i="8" l="1"/>
  <c r="D27" i="8"/>
  <c r="C44" i="8" s="1"/>
  <c r="C45" i="8" s="1"/>
  <c r="D37" i="8"/>
  <c r="C55" i="8" l="1"/>
  <c r="C61" i="8" s="1"/>
</calcChain>
</file>

<file path=xl/sharedStrings.xml><?xml version="1.0" encoding="utf-8"?>
<sst xmlns="http://schemas.openxmlformats.org/spreadsheetml/2006/main" count="292" uniqueCount="158">
  <si>
    <t>Müügitulu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</si>
  <si>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</si>
  <si>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</si>
  <si>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</si>
  <si>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</si>
  <si>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</si>
  <si>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</si>
  <si>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</si>
  <si>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</si>
  <si>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</si>
  <si>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</si>
  <si>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</si>
  <si>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</si>
  <si>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kokku</t>
  </si>
  <si>
    <t>Kaup 1</t>
  </si>
  <si>
    <t>Kaup 2</t>
  </si>
  <si>
    <t>ühikute müük</t>
  </si>
  <si>
    <t>hind</t>
  </si>
  <si>
    <t>Müügitulu kokku</t>
  </si>
  <si>
    <t>Kaup2</t>
  </si>
  <si>
    <t>MÜÜGIPROGNOOS</t>
  </si>
  <si>
    <t>KAUBAKULU</t>
  </si>
  <si>
    <t>müüdud ühikuid</t>
  </si>
  <si>
    <t>omahind</t>
  </si>
  <si>
    <t>kaubakulu kokku</t>
  </si>
  <si>
    <t>Ostetud kaubad ja teenused</t>
  </si>
  <si>
    <t>Brutokasum</t>
  </si>
  <si>
    <t>Turunduskulud</t>
  </si>
  <si>
    <t>Üldhalduskulud</t>
  </si>
  <si>
    <t>Muud ärikulud</t>
  </si>
  <si>
    <t>Ärikasum</t>
  </si>
  <si>
    <t>Finantstulud ja -kulud</t>
  </si>
  <si>
    <t>Puhaskasum</t>
  </si>
  <si>
    <t>TURUNDUSKULUD</t>
  </si>
  <si>
    <t>e-poe hooldus</t>
  </si>
  <si>
    <t>meililisti haldus</t>
  </si>
  <si>
    <t>Facebooki reklaam</t>
  </si>
  <si>
    <t>raamatupidamiskulu</t>
  </si>
  <si>
    <t xml:space="preserve">   brutopalk</t>
  </si>
  <si>
    <t xml:space="preserve">   sotsiaalmaks</t>
  </si>
  <si>
    <t>palgakulud kokku</t>
  </si>
  <si>
    <t>ruumide rent</t>
  </si>
  <si>
    <t>kommunaalkulud</t>
  </si>
  <si>
    <t>ÜLDHALDUSKULUD</t>
  </si>
  <si>
    <t>Üldhalduskulud kokku</t>
  </si>
  <si>
    <t>Turunduskulud kokku</t>
  </si>
  <si>
    <t>Kaubakulu kokku</t>
  </si>
  <si>
    <t xml:space="preserve">Kasumiaruanne </t>
  </si>
  <si>
    <t>2018a müügitulu kasv vs 2017</t>
  </si>
  <si>
    <t>prognoositav inflatsioon</t>
  </si>
  <si>
    <t>palgakulu kasv</t>
  </si>
  <si>
    <t>muude kulude kasv - inflatsioon</t>
  </si>
  <si>
    <t>Palgakulu</t>
  </si>
  <si>
    <t>Amort</t>
  </si>
  <si>
    <t>Bilanss</t>
  </si>
  <si>
    <t>Raha</t>
  </si>
  <si>
    <t>Nõuded ostjatele</t>
  </si>
  <si>
    <t>Käibevara kokku</t>
  </si>
  <si>
    <t>Materiaalne põhivara</t>
  </si>
  <si>
    <t>Akum.kulum</t>
  </si>
  <si>
    <t>Põhivara kokku</t>
  </si>
  <si>
    <t>Varad kokku</t>
  </si>
  <si>
    <t>Võlad hankijatele</t>
  </si>
  <si>
    <t>Maksuvõlad</t>
  </si>
  <si>
    <t>Palgavõlad</t>
  </si>
  <si>
    <t>Kohustused kokku</t>
  </si>
  <si>
    <t>Osakapital</t>
  </si>
  <si>
    <t>Aruandeperioodi tulem</t>
  </si>
  <si>
    <t>Omakapital kokku</t>
  </si>
  <si>
    <t>Kohustused ja omakap kokku</t>
  </si>
  <si>
    <t>Rahavoogude aruanne</t>
  </si>
  <si>
    <t>Amortisatsioonikulu</t>
  </si>
  <si>
    <t>Nõuete muutus</t>
  </si>
  <si>
    <t>Kohustuste muutus</t>
  </si>
  <si>
    <t>Rahavood äritegevusest kokku</t>
  </si>
  <si>
    <t>Põhivara ost</t>
  </si>
  <si>
    <t>Rahavood investeerimistegevusest kokku</t>
  </si>
  <si>
    <t>Rahavood finantseerimistegevusest kokku</t>
  </si>
  <si>
    <t>Rahavood kokku</t>
  </si>
  <si>
    <t>Raha perioodi algul</t>
  </si>
  <si>
    <t>Raha perioodi lõpus</t>
  </si>
  <si>
    <t>Puhaskasumi marginaal</t>
  </si>
  <si>
    <t>Brutokasumi marginaal</t>
  </si>
  <si>
    <t xml:space="preserve">PALGAKULUD  </t>
  </si>
  <si>
    <t>muut</t>
  </si>
  <si>
    <t>turustuskulud kasvavad samas tempos kui müügitulu</t>
  </si>
  <si>
    <t>kokku 2018</t>
  </si>
  <si>
    <t>MUUD ÄRIKULUD</t>
  </si>
  <si>
    <t xml:space="preserve">amort </t>
  </si>
  <si>
    <t>jääkväärtus</t>
  </si>
  <si>
    <t>ostukp</t>
  </si>
  <si>
    <t>kasutusiga</t>
  </si>
  <si>
    <t>kuudes</t>
  </si>
  <si>
    <t>maksumus</t>
  </si>
  <si>
    <t>soetus-</t>
  </si>
  <si>
    <t>31.12.17</t>
  </si>
  <si>
    <t>Varud</t>
  </si>
  <si>
    <t>laos hoitakse varusid 2k müügi ulatuses</t>
  </si>
  <si>
    <t>RAHAKÄIBE ARUANNE</t>
  </si>
  <si>
    <t>Rahasaldo algul</t>
  </si>
  <si>
    <t>Laekumised</t>
  </si>
  <si>
    <t xml:space="preserve">Kaupade müügist </t>
  </si>
  <si>
    <t>Kaupade müügist käibemaksu osa</t>
  </si>
  <si>
    <t>Laekumised kokku</t>
  </si>
  <si>
    <t>Palgamaksed</t>
  </si>
  <si>
    <t>brutopalk</t>
  </si>
  <si>
    <t>netopalk</t>
  </si>
  <si>
    <t>maksud kokku</t>
  </si>
  <si>
    <t>kontroll</t>
  </si>
  <si>
    <t>kontroll aasta kokku</t>
  </si>
  <si>
    <t>palgamaksu maksed</t>
  </si>
  <si>
    <t>dets.müük</t>
  </si>
  <si>
    <t>dets müügi km osa</t>
  </si>
  <si>
    <t>dets netopalk</t>
  </si>
  <si>
    <t>nov ja dets palgamaksud</t>
  </si>
  <si>
    <t>Kokku palgad ja maksud</t>
  </si>
  <si>
    <t>järgmisel kuul</t>
  </si>
  <si>
    <t>ülejärgmisel kuul</t>
  </si>
  <si>
    <t>kulude käibemaksu osa</t>
  </si>
  <si>
    <t>Kokku kulud</t>
  </si>
  <si>
    <t>Varude käive</t>
  </si>
  <si>
    <t>ost</t>
  </si>
  <si>
    <t>müük</t>
  </si>
  <si>
    <t>saldo kuu lõpus</t>
  </si>
  <si>
    <t>2 kuu varu laos</t>
  </si>
  <si>
    <t>igakuine kasv</t>
  </si>
  <si>
    <t>varude ost</t>
  </si>
  <si>
    <t>varude käibemaksu osa</t>
  </si>
  <si>
    <t>võlg/nõue</t>
  </si>
  <si>
    <t>Kokku varude tehingud</t>
  </si>
  <si>
    <t>müügiprognoos</t>
  </si>
  <si>
    <t>kaubakulu</t>
  </si>
  <si>
    <t>tegevuskulud</t>
  </si>
  <si>
    <t>Allikas</t>
  </si>
  <si>
    <t>2017 tegelik</t>
  </si>
  <si>
    <t>2018 eelarve</t>
  </si>
  <si>
    <t>Amortisatsioon</t>
  </si>
  <si>
    <t>investeeringud</t>
  </si>
  <si>
    <t>31.12.18</t>
  </si>
  <si>
    <t>Eelmiste perioodide tulem</t>
  </si>
  <si>
    <t>seade 1</t>
  </si>
  <si>
    <t>seade 2</t>
  </si>
  <si>
    <t>põhivara ost</t>
  </si>
  <si>
    <t>põhivara käibemaksu osa</t>
  </si>
  <si>
    <t>Kokku põhivara</t>
  </si>
  <si>
    <t>Turustus-, üldhaldus-, muud ärikulud</t>
  </si>
  <si>
    <t>Raha muut</t>
  </si>
  <si>
    <t>Varude muutus</t>
  </si>
  <si>
    <t>käibemaksu osa</t>
  </si>
  <si>
    <t>Lühiajaline laen</t>
  </si>
  <si>
    <t>Laenuintress 10% aastas</t>
  </si>
  <si>
    <t>Kokku finantseerimise rahavood</t>
  </si>
  <si>
    <t>Makstud intressid</t>
  </si>
  <si>
    <t>Saadud lühiajaline laen</t>
  </si>
  <si>
    <t>Tagastatud lühiajaline laen</t>
  </si>
  <si>
    <t>laenujäägilt, samal kuul</t>
  </si>
  <si>
    <t>31.12.2017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</si>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</sst>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9" fontId="0" fillId="0" borderId="0" xfId="0" applyNumberFormat="1"/>
    <xf numFmtId="9" fontId="0" fillId="0" borderId="0" xfId="1" applyFont="1"/>
    <xf numFmtId="0" fontId="4" fillId="0" borderId="0" xfId="0" applyFont="1"/>
    <xf numFmtId="9" fontId="4" fillId="0" borderId="0" xfId="1" applyFont="1"/>
    <xf numFmtId="0" fontId="0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9" fontId="5" fillId="0" borderId="0" xfId="1" applyFont="1"/>
    <xf numFmtId="3" fontId="0" fillId="0" borderId="0" xfId="0" applyNumberFormat="1" applyFont="1"/>
    <xf numFmtId="14" fontId="0" fillId="0" borderId="0" xfId="0" applyNumberForma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quotePrefix="1" applyNumberFormat="1" applyFont="1" applyAlignment="1">
      <alignment horizontal="right"/>
    </xf>
    <xf numFmtId="14" fontId="2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RowHeight="15" x14ac:dyDescent="0.25"/>
  <cols>
    <col min="1" max="1" width="56.85546875" customWidth="1"/>
  </cols>
  <sheetData>
    <row r="1" spans="1:2" x14ac:dyDescent="0.25">
      <c r="A1" t="s">
        <v>49</v>
      </c>
      <c r="B1" s="7">
        <v>0.02</v>
      </c>
    </row>
    <row r="2" spans="1:2" x14ac:dyDescent="0.25">
      <c r="A2" t="s">
        <v>48</v>
      </c>
      <c r="B2" s="7">
        <v>0.11</v>
      </c>
    </row>
    <row r="3" spans="1:2" x14ac:dyDescent="0.25">
      <c r="A3" t="s">
        <v>85</v>
      </c>
      <c r="B3" s="7">
        <v>0.11</v>
      </c>
    </row>
    <row r="4" spans="1:2" x14ac:dyDescent="0.25">
      <c r="A4" t="s">
        <v>50</v>
      </c>
      <c r="B4" s="7">
        <v>0.06</v>
      </c>
    </row>
    <row r="5" spans="1:2" x14ac:dyDescent="0.25">
      <c r="A5" t="s">
        <v>51</v>
      </c>
      <c r="B5" s="7">
        <v>0.02</v>
      </c>
    </row>
    <row r="6" spans="1:2" x14ac:dyDescent="0.25">
      <c r="A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2" sqref="C22"/>
    </sheetView>
  </sheetViews>
  <sheetFormatPr defaultRowHeight="15" x14ac:dyDescent="0.25"/>
  <cols>
    <col min="1" max="1" width="25.140625" customWidth="1"/>
    <col min="2" max="2" width="11.5703125" style="3" customWidth="1"/>
    <col min="3" max="3" width="10.140625" bestFit="1" customWidth="1"/>
  </cols>
  <sheetData>
    <row r="1" spans="1:4" s="1" customFormat="1" x14ac:dyDescent="0.25">
      <c r="A1" s="1" t="s">
        <v>47</v>
      </c>
      <c r="B1" s="2" t="s">
        <v>134</v>
      </c>
      <c r="C1" s="1" t="s">
        <v>135</v>
      </c>
    </row>
    <row r="2" spans="1:4" x14ac:dyDescent="0.25">
      <c r="A2" t="s">
        <v>0</v>
      </c>
      <c r="B2" s="3">
        <v>49750</v>
      </c>
      <c r="C2" s="3">
        <f>'2018 detailne KA'!P2</f>
        <v>55440</v>
      </c>
    </row>
    <row r="3" spans="1:4" x14ac:dyDescent="0.25">
      <c r="A3" t="s">
        <v>25</v>
      </c>
      <c r="B3" s="3">
        <f>-'kaubakulu ja varud'!B12</f>
        <v>-21000</v>
      </c>
      <c r="C3" s="3">
        <f>'2018 detailne KA'!P3</f>
        <v>-23360</v>
      </c>
    </row>
    <row r="4" spans="1:4" x14ac:dyDescent="0.25">
      <c r="A4" s="1" t="s">
        <v>26</v>
      </c>
      <c r="B4" s="2">
        <f>SUM(B2:B3)</f>
        <v>28750</v>
      </c>
      <c r="C4" s="2">
        <f>SUM(C2:C3)</f>
        <v>32080</v>
      </c>
    </row>
    <row r="5" spans="1:4" x14ac:dyDescent="0.25">
      <c r="A5" s="9" t="s">
        <v>82</v>
      </c>
      <c r="B5" s="10">
        <f>B4/B2</f>
        <v>0.57788944723618085</v>
      </c>
      <c r="C5" s="10">
        <f>C4/C2</f>
        <v>0.57864357864357863</v>
      </c>
    </row>
    <row r="6" spans="1:4" x14ac:dyDescent="0.25">
      <c r="A6" t="s">
        <v>52</v>
      </c>
      <c r="B6" s="3">
        <f>'2018 detailne KA'!C6</f>
        <v>-7546.32</v>
      </c>
      <c r="C6" s="3">
        <f>'2018 detailne KA'!P6</f>
        <v>-8028</v>
      </c>
    </row>
    <row r="7" spans="1:4" x14ac:dyDescent="0.25">
      <c r="A7" t="s">
        <v>27</v>
      </c>
      <c r="B7" s="3">
        <f>'2018 detailne KA'!C7</f>
        <v>-4000</v>
      </c>
      <c r="C7" s="3">
        <f>'2018 detailne KA'!P7</f>
        <v>-4440</v>
      </c>
    </row>
    <row r="8" spans="1:4" x14ac:dyDescent="0.25">
      <c r="A8" t="s">
        <v>53</v>
      </c>
      <c r="B8" s="3">
        <f>'2018 detailne KA'!C8</f>
        <v>-500</v>
      </c>
      <c r="C8" s="3">
        <f>'2018 detailne KA'!P8</f>
        <v>-2833.333333333333</v>
      </c>
    </row>
    <row r="9" spans="1:4" x14ac:dyDescent="0.25">
      <c r="A9" t="s">
        <v>28</v>
      </c>
      <c r="B9" s="3">
        <f>'2018 detailne KA'!C9</f>
        <v>-7650</v>
      </c>
      <c r="C9" s="3">
        <f>'2018 detailne KA'!P9</f>
        <v>-7800</v>
      </c>
    </row>
    <row r="10" spans="1:4" x14ac:dyDescent="0.25">
      <c r="A10" t="s">
        <v>29</v>
      </c>
      <c r="B10" s="3">
        <f>'2018 detailne KA'!C10</f>
        <v>-1000</v>
      </c>
      <c r="C10" s="3">
        <f>'2018 detailne KA'!P10</f>
        <v>-1020</v>
      </c>
    </row>
    <row r="11" spans="1:4" x14ac:dyDescent="0.25">
      <c r="A11" s="1" t="s">
        <v>30</v>
      </c>
      <c r="B11" s="2">
        <f>B4+B6+B7+B8+B9+B10</f>
        <v>8053.68</v>
      </c>
      <c r="C11" s="2">
        <f>C4+C6+C7+C8+C9+C10</f>
        <v>7958.6666666666679</v>
      </c>
    </row>
    <row r="13" spans="1:4" x14ac:dyDescent="0.25">
      <c r="A13" t="s">
        <v>31</v>
      </c>
      <c r="B13" s="3">
        <v>0</v>
      </c>
      <c r="C13" s="3">
        <f>'2018 detailne KA'!P13</f>
        <v>-83.333333333333329</v>
      </c>
    </row>
    <row r="14" spans="1:4" x14ac:dyDescent="0.25">
      <c r="A14" s="1" t="s">
        <v>32</v>
      </c>
      <c r="B14" s="2">
        <f>B11+B13</f>
        <v>8053.68</v>
      </c>
      <c r="C14" s="2">
        <f>C11+C13</f>
        <v>7875.3333333333348</v>
      </c>
    </row>
    <row r="15" spans="1:4" x14ac:dyDescent="0.25">
      <c r="A15" s="9" t="s">
        <v>81</v>
      </c>
      <c r="B15" s="10">
        <f>B14/B2</f>
        <v>0.16188301507537689</v>
      </c>
      <c r="C15" s="10">
        <f>C14/C2</f>
        <v>0.14205146705146707</v>
      </c>
    </row>
    <row r="16" spans="1:4" x14ac:dyDescent="0.25">
      <c r="D16" s="13"/>
    </row>
    <row r="17" spans="1:7" x14ac:dyDescent="0.25">
      <c r="A17" s="1" t="s">
        <v>54</v>
      </c>
      <c r="B17" s="20" t="s">
        <v>95</v>
      </c>
      <c r="C17" s="21" t="s">
        <v>138</v>
      </c>
      <c r="D17" s="22" t="s">
        <v>84</v>
      </c>
    </row>
    <row r="18" spans="1:7" x14ac:dyDescent="0.25">
      <c r="A18" t="s">
        <v>55</v>
      </c>
      <c r="B18" s="3">
        <v>1213</v>
      </c>
      <c r="C18" s="3">
        <f>rahakäive!O31</f>
        <v>4942.2999999999993</v>
      </c>
      <c r="D18" s="23">
        <f>B18-C18</f>
        <v>-3729.2999999999993</v>
      </c>
    </row>
    <row r="19" spans="1:7" x14ac:dyDescent="0.25">
      <c r="A19" t="s">
        <v>56</v>
      </c>
      <c r="B19" s="3">
        <f>rahakäive!C7</f>
        <v>4800</v>
      </c>
      <c r="C19" s="3">
        <f>rahakäive!Q7</f>
        <v>6492</v>
      </c>
      <c r="D19" s="23">
        <f>B19-C19</f>
        <v>-1692</v>
      </c>
    </row>
    <row r="20" spans="1:7" x14ac:dyDescent="0.25">
      <c r="A20" t="s">
        <v>96</v>
      </c>
      <c r="B20" s="3">
        <f>'kaubakulu ja varud'!B15</f>
        <v>3440</v>
      </c>
      <c r="C20" s="3">
        <f>'kaubakulu ja varud'!N18</f>
        <v>4837.2480000000014</v>
      </c>
      <c r="D20" s="23">
        <f>B20-C20</f>
        <v>-1397.2480000000014</v>
      </c>
      <c r="G20" s="3"/>
    </row>
    <row r="21" spans="1:7" x14ac:dyDescent="0.25">
      <c r="A21" s="1" t="s">
        <v>57</v>
      </c>
      <c r="B21" s="2">
        <f>SUM(B18:B20)</f>
        <v>9453</v>
      </c>
      <c r="C21" s="2">
        <f>SUM(C18:C20)</f>
        <v>16271.548000000001</v>
      </c>
      <c r="D21" s="9"/>
      <c r="G21" s="3"/>
    </row>
    <row r="22" spans="1:7" x14ac:dyDescent="0.25">
      <c r="A22" t="s">
        <v>58</v>
      </c>
      <c r="B22" s="3">
        <f>investeeringud!D4</f>
        <v>6000</v>
      </c>
      <c r="C22" s="3">
        <f>investeeringud!T6</f>
        <v>11000</v>
      </c>
      <c r="D22" s="23">
        <f>B22-C22</f>
        <v>-5000</v>
      </c>
    </row>
    <row r="23" spans="1:7" x14ac:dyDescent="0.25">
      <c r="A23" t="s">
        <v>59</v>
      </c>
      <c r="B23" s="3">
        <f>-investeeringud!E4</f>
        <v>-500</v>
      </c>
      <c r="C23" s="3">
        <f>-investeeringud!U6</f>
        <v>-3333.3333333333335</v>
      </c>
      <c r="D23" s="23">
        <f>B23-C23</f>
        <v>2833.3333333333335</v>
      </c>
    </row>
    <row r="24" spans="1:7" x14ac:dyDescent="0.25">
      <c r="A24" s="1" t="s">
        <v>60</v>
      </c>
      <c r="B24" s="2">
        <f>B22+B23</f>
        <v>5500</v>
      </c>
      <c r="C24" s="2">
        <f>C22+C23</f>
        <v>7666.6666666666661</v>
      </c>
      <c r="D24" s="9"/>
    </row>
    <row r="25" spans="1:7" x14ac:dyDescent="0.25">
      <c r="A25" s="1" t="s">
        <v>61</v>
      </c>
      <c r="B25" s="2">
        <f>B21+B24</f>
        <v>14953</v>
      </c>
      <c r="C25" s="2">
        <f>C21+C24</f>
        <v>23938.214666666667</v>
      </c>
      <c r="D25" s="9"/>
    </row>
    <row r="26" spans="1:7" x14ac:dyDescent="0.25">
      <c r="D26" s="9"/>
    </row>
    <row r="27" spans="1:7" x14ac:dyDescent="0.25">
      <c r="A27" t="s">
        <v>62</v>
      </c>
      <c r="B27" s="3">
        <f>rahakäive!C15+rahakäive!C19</f>
        <v>3353</v>
      </c>
      <c r="C27" s="3">
        <f>rahakäive!Q15+rahakäive!Q19</f>
        <v>4285.2576000000008</v>
      </c>
      <c r="D27" s="23">
        <f>C27-B27</f>
        <v>932.25760000000082</v>
      </c>
    </row>
    <row r="28" spans="1:7" x14ac:dyDescent="0.25">
      <c r="A28" t="s">
        <v>63</v>
      </c>
      <c r="B28" s="3">
        <f>rahakäive!C10+rahakäive!C29</f>
        <v>593.16666666666663</v>
      </c>
      <c r="C28" s="3">
        <f>rahakäive!Q10+rahakäive!Q29</f>
        <v>741.79039999999986</v>
      </c>
      <c r="D28" s="23">
        <f t="shared" ref="D28:D29" si="0">C28-B28</f>
        <v>148.62373333333323</v>
      </c>
    </row>
    <row r="29" spans="1:7" x14ac:dyDescent="0.25">
      <c r="A29" t="s">
        <v>64</v>
      </c>
      <c r="B29" s="3">
        <f>rahakäive!C9</f>
        <v>453</v>
      </c>
      <c r="C29" s="3">
        <f>rahakäive!Q9</f>
        <v>482</v>
      </c>
      <c r="D29" s="23">
        <f t="shared" si="0"/>
        <v>29</v>
      </c>
    </row>
    <row r="30" spans="1:7" x14ac:dyDescent="0.25">
      <c r="A30" s="1" t="s">
        <v>65</v>
      </c>
      <c r="B30" s="2">
        <f>SUM(B27:B29)</f>
        <v>4399.1666666666661</v>
      </c>
      <c r="C30" s="2">
        <f>SUM(C27:C29)</f>
        <v>5509.0480000000007</v>
      </c>
      <c r="D30" s="9"/>
    </row>
    <row r="31" spans="1:7" x14ac:dyDescent="0.25">
      <c r="D31" s="9"/>
    </row>
    <row r="32" spans="1:7" x14ac:dyDescent="0.25">
      <c r="A32" t="s">
        <v>66</v>
      </c>
      <c r="B32" s="3">
        <v>2500</v>
      </c>
      <c r="C32">
        <v>2500</v>
      </c>
      <c r="D32" s="23">
        <f t="shared" ref="D32" si="1">C32-B32</f>
        <v>0</v>
      </c>
    </row>
    <row r="33" spans="1:4" x14ac:dyDescent="0.25">
      <c r="A33" t="s">
        <v>139</v>
      </c>
      <c r="B33" s="3">
        <v>0</v>
      </c>
      <c r="C33" s="3">
        <f>B34</f>
        <v>8053.68</v>
      </c>
      <c r="D33" s="23"/>
    </row>
    <row r="34" spans="1:4" x14ac:dyDescent="0.25">
      <c r="A34" t="s">
        <v>67</v>
      </c>
      <c r="B34" s="3">
        <f>B14</f>
        <v>8053.68</v>
      </c>
      <c r="C34" s="3">
        <f>C14</f>
        <v>7875.3333333333348</v>
      </c>
      <c r="D34" s="23">
        <f>C34</f>
        <v>7875.3333333333348</v>
      </c>
    </row>
    <row r="35" spans="1:4" x14ac:dyDescent="0.25">
      <c r="A35" t="s">
        <v>68</v>
      </c>
      <c r="B35" s="3">
        <f>SUM(B32:B34)</f>
        <v>10553.68</v>
      </c>
      <c r="C35" s="3">
        <f>SUM(C32:C34)</f>
        <v>18429.013333333336</v>
      </c>
      <c r="D35" s="9"/>
    </row>
    <row r="36" spans="1:4" x14ac:dyDescent="0.25">
      <c r="A36" s="1" t="s">
        <v>69</v>
      </c>
      <c r="B36" s="2">
        <f>B30+B35</f>
        <v>14952.846666666666</v>
      </c>
      <c r="C36" s="2">
        <f>C30+C35</f>
        <v>23938.061333333339</v>
      </c>
      <c r="D36" s="9"/>
    </row>
    <row r="37" spans="1:4" x14ac:dyDescent="0.25">
      <c r="B37" s="3">
        <f>B25-B36</f>
        <v>0.15333333333364862</v>
      </c>
      <c r="C37" s="3">
        <f>C25-C36</f>
        <v>0.15333333332819166</v>
      </c>
      <c r="D37" s="23">
        <f>SUM(D18:D36)</f>
        <v>0</v>
      </c>
    </row>
    <row r="39" spans="1:4" x14ac:dyDescent="0.25">
      <c r="A39" s="1" t="s">
        <v>70</v>
      </c>
      <c r="C39" s="1" t="s">
        <v>135</v>
      </c>
    </row>
    <row r="40" spans="1:4" x14ac:dyDescent="0.25">
      <c r="A40" t="s">
        <v>30</v>
      </c>
      <c r="C40" s="3">
        <f>C11</f>
        <v>7958.6666666666679</v>
      </c>
    </row>
    <row r="41" spans="1:4" x14ac:dyDescent="0.25">
      <c r="A41" t="s">
        <v>71</v>
      </c>
      <c r="C41" s="3">
        <f>-C8</f>
        <v>2833.333333333333</v>
      </c>
    </row>
    <row r="42" spans="1:4" x14ac:dyDescent="0.25">
      <c r="A42" t="s">
        <v>72</v>
      </c>
      <c r="C42" s="3">
        <f>D19</f>
        <v>-1692</v>
      </c>
    </row>
    <row r="43" spans="1:4" x14ac:dyDescent="0.25">
      <c r="A43" t="s">
        <v>147</v>
      </c>
      <c r="C43" s="3">
        <f>D20</f>
        <v>-1397.2480000000014</v>
      </c>
    </row>
    <row r="44" spans="1:4" x14ac:dyDescent="0.25">
      <c r="A44" t="s">
        <v>73</v>
      </c>
      <c r="C44" s="3">
        <f>D27+D28+D29</f>
        <v>1109.8813333333342</v>
      </c>
    </row>
    <row r="45" spans="1:4" x14ac:dyDescent="0.25">
      <c r="A45" s="1" t="s">
        <v>74</v>
      </c>
      <c r="B45" s="2"/>
      <c r="C45" s="2">
        <f>SUM(C40:C44)</f>
        <v>8812.6333333333332</v>
      </c>
    </row>
    <row r="47" spans="1:4" x14ac:dyDescent="0.25">
      <c r="A47" t="s">
        <v>75</v>
      </c>
      <c r="C47" s="3">
        <f>D22</f>
        <v>-5000</v>
      </c>
    </row>
    <row r="48" spans="1:4" x14ac:dyDescent="0.25">
      <c r="A48" s="1" t="s">
        <v>76</v>
      </c>
      <c r="B48" s="2"/>
      <c r="C48" s="2">
        <f>C47</f>
        <v>-5000</v>
      </c>
    </row>
    <row r="50" spans="1:3" x14ac:dyDescent="0.25">
      <c r="A50" t="s">
        <v>153</v>
      </c>
      <c r="C50" s="3">
        <f>rahakäive!F25</f>
        <v>2500</v>
      </c>
    </row>
    <row r="51" spans="1:3" x14ac:dyDescent="0.25">
      <c r="A51" t="s">
        <v>154</v>
      </c>
      <c r="C51" s="3">
        <f>rahakäive!H25+rahakäive!I25+rahakäive!J25+rahakäive!K25+rahakäive!L25</f>
        <v>-2500</v>
      </c>
    </row>
    <row r="52" spans="1:3" x14ac:dyDescent="0.25">
      <c r="A52" t="s">
        <v>152</v>
      </c>
      <c r="C52" s="3">
        <f>'2018 detailne KA'!P13</f>
        <v>-83.333333333333329</v>
      </c>
    </row>
    <row r="53" spans="1:3" x14ac:dyDescent="0.25">
      <c r="A53" s="1" t="s">
        <v>77</v>
      </c>
      <c r="B53" s="2"/>
      <c r="C53" s="2">
        <f>SUM(C50:C52)</f>
        <v>-83.333333333333329</v>
      </c>
    </row>
    <row r="55" spans="1:3" x14ac:dyDescent="0.25">
      <c r="A55" s="1" t="s">
        <v>78</v>
      </c>
      <c r="B55" s="2"/>
      <c r="C55" s="2">
        <f>C45+C47+C53</f>
        <v>3729.2999999999997</v>
      </c>
    </row>
    <row r="57" spans="1:3" x14ac:dyDescent="0.25">
      <c r="A57" t="s">
        <v>79</v>
      </c>
      <c r="C57" s="3">
        <f>B18</f>
        <v>1213</v>
      </c>
    </row>
    <row r="58" spans="1:3" x14ac:dyDescent="0.25">
      <c r="A58" t="s">
        <v>80</v>
      </c>
      <c r="C58" s="3">
        <f>C18</f>
        <v>4942.2999999999993</v>
      </c>
    </row>
    <row r="59" spans="1:3" x14ac:dyDescent="0.25">
      <c r="A59" s="1" t="s">
        <v>146</v>
      </c>
      <c r="B59" s="2"/>
      <c r="C59" s="2">
        <f>C58-C57</f>
        <v>3729.2999999999993</v>
      </c>
    </row>
    <row r="61" spans="1:3" x14ac:dyDescent="0.25">
      <c r="A61" t="s">
        <v>108</v>
      </c>
      <c r="C61" s="3">
        <f>C55-C59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D15" sqref="D15"/>
    </sheetView>
  </sheetViews>
  <sheetFormatPr defaultRowHeight="15" x14ac:dyDescent="0.25"/>
  <cols>
    <col min="1" max="1" width="23.7109375" customWidth="1"/>
    <col min="2" max="2" width="13.28515625" customWidth="1"/>
    <col min="3" max="3" width="12" customWidth="1"/>
    <col min="14" max="14" width="9.7109375" bestFit="1" customWidth="1"/>
    <col min="15" max="15" width="10" bestFit="1" customWidth="1"/>
    <col min="16" max="16" width="10.5703125" customWidth="1"/>
  </cols>
  <sheetData>
    <row r="1" spans="1:17" s="1" customFormat="1" x14ac:dyDescent="0.25">
      <c r="B1" s="11" t="s">
        <v>133</v>
      </c>
      <c r="C1" s="1">
        <v>2017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86</v>
      </c>
      <c r="Q1" s="6" t="s">
        <v>84</v>
      </c>
    </row>
    <row r="2" spans="1:17" x14ac:dyDescent="0.25">
      <c r="A2" t="s">
        <v>0</v>
      </c>
      <c r="B2" t="s">
        <v>130</v>
      </c>
      <c r="C2" s="3">
        <f>müügiprognoos!B12</f>
        <v>49750</v>
      </c>
      <c r="D2" s="3">
        <f>müügiprognoos!C12</f>
        <v>4035</v>
      </c>
      <c r="E2" s="3">
        <f>müügiprognoos!D12</f>
        <v>4130</v>
      </c>
      <c r="F2" s="3">
        <f>müügiprognoos!E12</f>
        <v>4225</v>
      </c>
      <c r="G2" s="3">
        <f>müügiprognoos!F12</f>
        <v>4320</v>
      </c>
      <c r="H2" s="3">
        <f>müügiprognoos!G12</f>
        <v>4415</v>
      </c>
      <c r="I2" s="3">
        <f>müügiprognoos!H12</f>
        <v>4510</v>
      </c>
      <c r="J2" s="3">
        <f>müügiprognoos!I12</f>
        <v>4605</v>
      </c>
      <c r="K2" s="3">
        <f>müügiprognoos!J12</f>
        <v>4700</v>
      </c>
      <c r="L2" s="3">
        <f>müügiprognoos!K12</f>
        <v>4840</v>
      </c>
      <c r="M2" s="3">
        <f>müügiprognoos!L12</f>
        <v>5030</v>
      </c>
      <c r="N2" s="3">
        <f>müügiprognoos!M12</f>
        <v>5220</v>
      </c>
      <c r="O2" s="3">
        <f>müügiprognoos!N12</f>
        <v>5410</v>
      </c>
      <c r="P2" s="3">
        <f>SUM(D2:O2)</f>
        <v>55440</v>
      </c>
      <c r="Q2" s="8">
        <f>P2/C2-1</f>
        <v>0.11437185929648241</v>
      </c>
    </row>
    <row r="3" spans="1:17" x14ac:dyDescent="0.25">
      <c r="A3" t="s">
        <v>25</v>
      </c>
      <c r="B3" t="s">
        <v>131</v>
      </c>
      <c r="C3" s="3">
        <f>-'kaubakulu ja varud'!B12</f>
        <v>-21000</v>
      </c>
      <c r="D3" s="3">
        <f>-'kaubakulu ja varud'!C12</f>
        <v>-1700</v>
      </c>
      <c r="E3" s="3">
        <f>-'kaubakulu ja varud'!D12</f>
        <v>-1740</v>
      </c>
      <c r="F3" s="3">
        <f>-'kaubakulu ja varud'!E12</f>
        <v>-1780</v>
      </c>
      <c r="G3" s="3">
        <f>-'kaubakulu ja varud'!F12</f>
        <v>-1820</v>
      </c>
      <c r="H3" s="3">
        <f>-'kaubakulu ja varud'!G12</f>
        <v>-1860</v>
      </c>
      <c r="I3" s="3">
        <f>-'kaubakulu ja varud'!H12</f>
        <v>-1900</v>
      </c>
      <c r="J3" s="3">
        <f>-'kaubakulu ja varud'!I12</f>
        <v>-1940</v>
      </c>
      <c r="K3" s="3">
        <f>-'kaubakulu ja varud'!J12</f>
        <v>-1980</v>
      </c>
      <c r="L3" s="3">
        <f>-'kaubakulu ja varud'!K12</f>
        <v>-2040</v>
      </c>
      <c r="M3" s="3">
        <f>-'kaubakulu ja varud'!L12</f>
        <v>-2120</v>
      </c>
      <c r="N3" s="3">
        <f>-'kaubakulu ja varud'!M12</f>
        <v>-2200</v>
      </c>
      <c r="O3" s="3">
        <f>-'kaubakulu ja varud'!N12</f>
        <v>-2280</v>
      </c>
      <c r="P3" s="3">
        <f t="shared" ref="P3:P4" si="0">SUM(D3:O3)</f>
        <v>-23360</v>
      </c>
      <c r="Q3" s="8">
        <f t="shared" ref="Q3:Q15" si="1">P3/C3-1</f>
        <v>0.11238095238095247</v>
      </c>
    </row>
    <row r="4" spans="1:17" s="1" customFormat="1" x14ac:dyDescent="0.25">
      <c r="A4" s="1" t="s">
        <v>26</v>
      </c>
      <c r="C4" s="2">
        <f>SUM(C2:C3)</f>
        <v>28750</v>
      </c>
      <c r="D4" s="2">
        <f>SUM(D2:D3)</f>
        <v>2335</v>
      </c>
      <c r="E4" s="2">
        <f t="shared" ref="E4:O4" si="2">SUM(E2:E3)</f>
        <v>2390</v>
      </c>
      <c r="F4" s="2">
        <f t="shared" si="2"/>
        <v>2445</v>
      </c>
      <c r="G4" s="2">
        <f t="shared" si="2"/>
        <v>2500</v>
      </c>
      <c r="H4" s="2">
        <f t="shared" si="2"/>
        <v>2555</v>
      </c>
      <c r="I4" s="2">
        <f t="shared" si="2"/>
        <v>2610</v>
      </c>
      <c r="J4" s="2">
        <f t="shared" si="2"/>
        <v>2665</v>
      </c>
      <c r="K4" s="2">
        <f t="shared" si="2"/>
        <v>2720</v>
      </c>
      <c r="L4" s="2">
        <f t="shared" si="2"/>
        <v>2800</v>
      </c>
      <c r="M4" s="2">
        <f t="shared" si="2"/>
        <v>2910</v>
      </c>
      <c r="N4" s="2">
        <f t="shared" si="2"/>
        <v>3020</v>
      </c>
      <c r="O4" s="2">
        <f t="shared" si="2"/>
        <v>3130</v>
      </c>
      <c r="P4" s="2">
        <f t="shared" si="0"/>
        <v>32080</v>
      </c>
      <c r="Q4" s="8">
        <f t="shared" si="1"/>
        <v>0.11582608695652175</v>
      </c>
    </row>
    <row r="5" spans="1:17" x14ac:dyDescent="0.25">
      <c r="A5" s="9" t="s">
        <v>82</v>
      </c>
      <c r="B5" s="9"/>
      <c r="C5" s="10">
        <f>C4/C2</f>
        <v>0.57788944723618085</v>
      </c>
      <c r="D5" s="10">
        <f>D4/D2</f>
        <v>0.5786864931846345</v>
      </c>
      <c r="E5" s="10">
        <f t="shared" ref="E5:P5" si="3">E4/E2</f>
        <v>0.57869249394673128</v>
      </c>
      <c r="F5" s="10">
        <f t="shared" si="3"/>
        <v>0.57869822485207101</v>
      </c>
      <c r="G5" s="10">
        <f t="shared" si="3"/>
        <v>0.57870370370370372</v>
      </c>
      <c r="H5" s="10">
        <f t="shared" si="3"/>
        <v>0.57870894677236695</v>
      </c>
      <c r="I5" s="10">
        <f t="shared" si="3"/>
        <v>0.57871396895787142</v>
      </c>
      <c r="J5" s="10">
        <f t="shared" si="3"/>
        <v>0.57871878393051035</v>
      </c>
      <c r="K5" s="10">
        <f t="shared" si="3"/>
        <v>0.5787234042553191</v>
      </c>
      <c r="L5" s="10">
        <f t="shared" si="3"/>
        <v>0.57851239669421484</v>
      </c>
      <c r="M5" s="10">
        <f t="shared" si="3"/>
        <v>0.57852882703777331</v>
      </c>
      <c r="N5" s="10">
        <f t="shared" si="3"/>
        <v>0.57854406130268199</v>
      </c>
      <c r="O5" s="10">
        <f t="shared" si="3"/>
        <v>0.57855822550831792</v>
      </c>
      <c r="P5" s="10">
        <f t="shared" si="3"/>
        <v>0.57864357864357863</v>
      </c>
      <c r="Q5" s="8"/>
    </row>
    <row r="6" spans="1:17" x14ac:dyDescent="0.25">
      <c r="A6" s="11" t="s">
        <v>52</v>
      </c>
      <c r="B6" s="11" t="s">
        <v>132</v>
      </c>
      <c r="C6" s="15">
        <f>-tegevuskulud!C5</f>
        <v>-7546.32</v>
      </c>
      <c r="D6" s="15">
        <f>-tegevuskulud!D5</f>
        <v>-669</v>
      </c>
      <c r="E6" s="15">
        <f>-tegevuskulud!E5</f>
        <v>-669</v>
      </c>
      <c r="F6" s="15">
        <f>-tegevuskulud!F5</f>
        <v>-669</v>
      </c>
      <c r="G6" s="15">
        <f>-tegevuskulud!G5</f>
        <v>-669</v>
      </c>
      <c r="H6" s="15">
        <f>-tegevuskulud!H5</f>
        <v>-669</v>
      </c>
      <c r="I6" s="15">
        <f>-tegevuskulud!I5</f>
        <v>-669</v>
      </c>
      <c r="J6" s="15">
        <f>-tegevuskulud!J5</f>
        <v>-669</v>
      </c>
      <c r="K6" s="15">
        <f>-tegevuskulud!K5</f>
        <v>-669</v>
      </c>
      <c r="L6" s="15">
        <f>-tegevuskulud!L5</f>
        <v>-669</v>
      </c>
      <c r="M6" s="15">
        <f>-tegevuskulud!M5</f>
        <v>-669</v>
      </c>
      <c r="N6" s="15">
        <f>-tegevuskulud!N5</f>
        <v>-669</v>
      </c>
      <c r="O6" s="15">
        <f>-tegevuskulud!O5</f>
        <v>-669</v>
      </c>
      <c r="P6" s="3">
        <f>SUM(D6:O6)</f>
        <v>-8028</v>
      </c>
      <c r="Q6" s="8">
        <f t="shared" si="1"/>
        <v>6.3829787234042534E-2</v>
      </c>
    </row>
    <row r="7" spans="1:17" x14ac:dyDescent="0.25">
      <c r="A7" t="s">
        <v>27</v>
      </c>
      <c r="B7" s="11" t="s">
        <v>132</v>
      </c>
      <c r="C7" s="3">
        <f>-tegevuskulud!C11</f>
        <v>-4000</v>
      </c>
      <c r="D7" s="3">
        <f>-tegevuskulud!D11</f>
        <v>-370</v>
      </c>
      <c r="E7" s="3">
        <f>-tegevuskulud!E11</f>
        <v>-370</v>
      </c>
      <c r="F7" s="3">
        <f>-tegevuskulud!F11</f>
        <v>-370</v>
      </c>
      <c r="G7" s="3">
        <f>-tegevuskulud!G11</f>
        <v>-370</v>
      </c>
      <c r="H7" s="3">
        <f>-tegevuskulud!H11</f>
        <v>-370</v>
      </c>
      <c r="I7" s="3">
        <f>-tegevuskulud!I11</f>
        <v>-370</v>
      </c>
      <c r="J7" s="3">
        <f>-tegevuskulud!J11</f>
        <v>-370</v>
      </c>
      <c r="K7" s="3">
        <f>-tegevuskulud!K11</f>
        <v>-370</v>
      </c>
      <c r="L7" s="3">
        <f>-tegevuskulud!L11</f>
        <v>-370</v>
      </c>
      <c r="M7" s="3">
        <f>-tegevuskulud!M11</f>
        <v>-370</v>
      </c>
      <c r="N7" s="3">
        <f>-tegevuskulud!N11</f>
        <v>-370</v>
      </c>
      <c r="O7" s="3">
        <f>-tegevuskulud!O11</f>
        <v>-370</v>
      </c>
      <c r="P7" s="3">
        <f>SUM(D7:O7)</f>
        <v>-4440</v>
      </c>
      <c r="Q7" s="8">
        <f t="shared" si="1"/>
        <v>0.1100000000000001</v>
      </c>
    </row>
    <row r="8" spans="1:17" x14ac:dyDescent="0.25">
      <c r="A8" t="s">
        <v>136</v>
      </c>
      <c r="B8" s="11" t="s">
        <v>137</v>
      </c>
      <c r="C8" s="3">
        <f>-investeeringud!E4</f>
        <v>-500</v>
      </c>
      <c r="D8" s="3">
        <f>-investeeringud!G6</f>
        <v>-166.66666666666666</v>
      </c>
      <c r="E8" s="3">
        <f>-investeeringud!H6</f>
        <v>-166.66666666666666</v>
      </c>
      <c r="F8" s="3">
        <f>-investeeringud!I6</f>
        <v>-250</v>
      </c>
      <c r="G8" s="3">
        <f>-investeeringud!J6</f>
        <v>-250</v>
      </c>
      <c r="H8" s="3">
        <f>-investeeringud!K6</f>
        <v>-250</v>
      </c>
      <c r="I8" s="3">
        <f>-investeeringud!L6</f>
        <v>-250</v>
      </c>
      <c r="J8" s="3">
        <f>-investeeringud!M6</f>
        <v>-250</v>
      </c>
      <c r="K8" s="3">
        <f>-investeeringud!N6</f>
        <v>-250</v>
      </c>
      <c r="L8" s="3">
        <f>-investeeringud!O6</f>
        <v>-250</v>
      </c>
      <c r="M8" s="3">
        <f>-investeeringud!P6</f>
        <v>-250</v>
      </c>
      <c r="N8" s="3">
        <f>-investeeringud!Q6</f>
        <v>-250</v>
      </c>
      <c r="O8" s="3">
        <f>-investeeringud!R6</f>
        <v>-250</v>
      </c>
      <c r="P8" s="3">
        <f>SUM(D8:O8)</f>
        <v>-2833.333333333333</v>
      </c>
      <c r="Q8" s="8">
        <f t="shared" si="1"/>
        <v>4.6666666666666661</v>
      </c>
    </row>
    <row r="9" spans="1:17" x14ac:dyDescent="0.25">
      <c r="A9" t="s">
        <v>28</v>
      </c>
      <c r="B9" s="11" t="s">
        <v>132</v>
      </c>
      <c r="C9" s="3">
        <f>-tegevuskulud!C17</f>
        <v>-7650</v>
      </c>
      <c r="D9" s="3">
        <f>-tegevuskulud!D17</f>
        <v>-650</v>
      </c>
      <c r="E9" s="3">
        <f>-tegevuskulud!E17</f>
        <v>-650</v>
      </c>
      <c r="F9" s="3">
        <f>-tegevuskulud!F17</f>
        <v>-650</v>
      </c>
      <c r="G9" s="3">
        <f>-tegevuskulud!G17</f>
        <v>-650</v>
      </c>
      <c r="H9" s="3">
        <f>-tegevuskulud!H17</f>
        <v>-650</v>
      </c>
      <c r="I9" s="3">
        <f>-tegevuskulud!I17</f>
        <v>-650</v>
      </c>
      <c r="J9" s="3">
        <f>-tegevuskulud!J17</f>
        <v>-650</v>
      </c>
      <c r="K9" s="3">
        <f>-tegevuskulud!K17</f>
        <v>-650</v>
      </c>
      <c r="L9" s="3">
        <f>-tegevuskulud!L17</f>
        <v>-650</v>
      </c>
      <c r="M9" s="3">
        <f>-tegevuskulud!M17</f>
        <v>-650</v>
      </c>
      <c r="N9" s="3">
        <f>-tegevuskulud!N17</f>
        <v>-650</v>
      </c>
      <c r="O9" s="3">
        <f>-tegevuskulud!O17</f>
        <v>-650</v>
      </c>
      <c r="P9" s="3">
        <f>SUM(D9:O9)</f>
        <v>-7800</v>
      </c>
      <c r="Q9" s="8">
        <f t="shared" si="1"/>
        <v>1.9607843137254832E-2</v>
      </c>
    </row>
    <row r="10" spans="1:17" x14ac:dyDescent="0.25">
      <c r="A10" t="s">
        <v>29</v>
      </c>
      <c r="B10" s="11" t="s">
        <v>132</v>
      </c>
      <c r="C10" s="3">
        <f>-tegevuskulud!C20</f>
        <v>-1000</v>
      </c>
      <c r="D10" s="3">
        <f>-tegevuskulud!D20</f>
        <v>-85</v>
      </c>
      <c r="E10" s="3">
        <f>-tegevuskulud!E20</f>
        <v>-85</v>
      </c>
      <c r="F10" s="3">
        <f>-tegevuskulud!F20</f>
        <v>-85</v>
      </c>
      <c r="G10" s="3">
        <f>-tegevuskulud!G20</f>
        <v>-85</v>
      </c>
      <c r="H10" s="3">
        <f>-tegevuskulud!H20</f>
        <v>-85</v>
      </c>
      <c r="I10" s="3">
        <f>-tegevuskulud!I20</f>
        <v>-85</v>
      </c>
      <c r="J10" s="3">
        <f>-tegevuskulud!J20</f>
        <v>-85</v>
      </c>
      <c r="K10" s="3">
        <f>-tegevuskulud!K20</f>
        <v>-85</v>
      </c>
      <c r="L10" s="3">
        <f>-tegevuskulud!L20</f>
        <v>-85</v>
      </c>
      <c r="M10" s="3">
        <f>-tegevuskulud!M20</f>
        <v>-85</v>
      </c>
      <c r="N10" s="3">
        <f>-tegevuskulud!N20</f>
        <v>-85</v>
      </c>
      <c r="O10" s="3">
        <f>-tegevuskulud!O20</f>
        <v>-85</v>
      </c>
      <c r="P10" s="3">
        <f>SUM(D10:O10)</f>
        <v>-1020</v>
      </c>
      <c r="Q10" s="8">
        <f t="shared" si="1"/>
        <v>2.0000000000000018E-2</v>
      </c>
    </row>
    <row r="11" spans="1:17" s="1" customFormat="1" x14ac:dyDescent="0.25">
      <c r="A11" s="1" t="s">
        <v>30</v>
      </c>
      <c r="C11" s="2">
        <f>C4+C6+C7+C9+C10+C8</f>
        <v>8053.68</v>
      </c>
      <c r="D11" s="2">
        <f t="shared" ref="D11:P11" si="4">D4+D6+D7+D9+D10+D8</f>
        <v>394.33333333333337</v>
      </c>
      <c r="E11" s="2">
        <f t="shared" si="4"/>
        <v>449.33333333333337</v>
      </c>
      <c r="F11" s="2">
        <f t="shared" si="4"/>
        <v>421</v>
      </c>
      <c r="G11" s="2">
        <f t="shared" si="4"/>
        <v>476</v>
      </c>
      <c r="H11" s="2">
        <f t="shared" si="4"/>
        <v>531</v>
      </c>
      <c r="I11" s="2">
        <f t="shared" si="4"/>
        <v>586</v>
      </c>
      <c r="J11" s="2">
        <f t="shared" si="4"/>
        <v>641</v>
      </c>
      <c r="K11" s="2">
        <f t="shared" si="4"/>
        <v>696</v>
      </c>
      <c r="L11" s="2">
        <f t="shared" si="4"/>
        <v>776</v>
      </c>
      <c r="M11" s="2">
        <f t="shared" si="4"/>
        <v>886</v>
      </c>
      <c r="N11" s="2">
        <f t="shared" si="4"/>
        <v>996</v>
      </c>
      <c r="O11" s="2">
        <f t="shared" si="4"/>
        <v>1106</v>
      </c>
      <c r="P11" s="2">
        <f t="shared" si="4"/>
        <v>7958.666666666667</v>
      </c>
      <c r="Q11" s="8">
        <f t="shared" si="1"/>
        <v>-1.179750540539648E-2</v>
      </c>
    </row>
    <row r="12" spans="1:17" x14ac:dyDescent="0.25">
      <c r="C12" s="3"/>
      <c r="Q12" s="8"/>
    </row>
    <row r="13" spans="1:17" x14ac:dyDescent="0.25">
      <c r="A13" t="s">
        <v>31</v>
      </c>
      <c r="C13">
        <v>0</v>
      </c>
      <c r="D13" s="3">
        <f>rahakäive!D26</f>
        <v>0</v>
      </c>
      <c r="E13" s="3">
        <f>rahakäive!E26</f>
        <v>0</v>
      </c>
      <c r="F13" s="3">
        <f>rahakäive!F26</f>
        <v>-20.833333333333332</v>
      </c>
      <c r="G13" s="3">
        <f>rahakäive!G26</f>
        <v>-20.833333333333332</v>
      </c>
      <c r="H13" s="3">
        <f>rahakäive!H26</f>
        <v>-16.666666666666668</v>
      </c>
      <c r="I13" s="3">
        <f>rahakäive!I26</f>
        <v>-12.5</v>
      </c>
      <c r="J13" s="3">
        <f>rahakäive!J26</f>
        <v>-8.3333333333333339</v>
      </c>
      <c r="K13" s="3">
        <f>rahakäive!K26</f>
        <v>-4.166666666666667</v>
      </c>
      <c r="L13" s="3">
        <f>rahakäive!L26</f>
        <v>0</v>
      </c>
      <c r="M13" s="3">
        <f>rahakäive!M26</f>
        <v>0</v>
      </c>
      <c r="N13" s="3">
        <f>rahakäive!N26</f>
        <v>0</v>
      </c>
      <c r="O13" s="3">
        <f>rahakäive!O26</f>
        <v>0</v>
      </c>
      <c r="P13" s="3">
        <f>SUM(D13:O13)</f>
        <v>-83.333333333333329</v>
      </c>
      <c r="Q13" s="8"/>
    </row>
    <row r="14" spans="1:17" x14ac:dyDescent="0.25">
      <c r="Q14" s="8"/>
    </row>
    <row r="15" spans="1:17" s="1" customFormat="1" x14ac:dyDescent="0.25">
      <c r="A15" s="1" t="s">
        <v>32</v>
      </c>
      <c r="C15" s="2">
        <f t="shared" ref="C15" si="5">C11+C13</f>
        <v>8053.68</v>
      </c>
      <c r="D15" s="2">
        <f t="shared" ref="D15:O15" si="6">D11+D13</f>
        <v>394.33333333333337</v>
      </c>
      <c r="E15" s="2">
        <f t="shared" si="6"/>
        <v>449.33333333333337</v>
      </c>
      <c r="F15" s="2">
        <f t="shared" si="6"/>
        <v>400.16666666666669</v>
      </c>
      <c r="G15" s="2">
        <f t="shared" si="6"/>
        <v>455.16666666666669</v>
      </c>
      <c r="H15" s="2">
        <f t="shared" si="6"/>
        <v>514.33333333333337</v>
      </c>
      <c r="I15" s="2">
        <f t="shared" si="6"/>
        <v>573.5</v>
      </c>
      <c r="J15" s="2">
        <f t="shared" si="6"/>
        <v>632.66666666666663</v>
      </c>
      <c r="K15" s="2">
        <f t="shared" si="6"/>
        <v>691.83333333333337</v>
      </c>
      <c r="L15" s="2">
        <f t="shared" si="6"/>
        <v>776</v>
      </c>
      <c r="M15" s="2">
        <f t="shared" si="6"/>
        <v>886</v>
      </c>
      <c r="N15" s="2">
        <f t="shared" si="6"/>
        <v>996</v>
      </c>
      <c r="O15" s="2">
        <f t="shared" si="6"/>
        <v>1106</v>
      </c>
      <c r="P15" s="2">
        <f>SUM(D15:O15)</f>
        <v>7875.333333333333</v>
      </c>
      <c r="Q15" s="8">
        <f t="shared" si="1"/>
        <v>-2.2144742113750171E-2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I27" sqref="I27"/>
    </sheetView>
  </sheetViews>
  <sheetFormatPr defaultRowHeight="15" x14ac:dyDescent="0.25"/>
  <cols>
    <col min="1" max="1" width="17.7109375" customWidth="1"/>
    <col min="2" max="2" width="9.85546875" customWidth="1"/>
    <col min="3" max="13" width="8.85546875" style="3"/>
    <col min="14" max="14" width="9.5703125" style="3" customWidth="1"/>
    <col min="15" max="15" width="8.85546875" style="3"/>
    <col min="16" max="16" width="8.85546875" style="9"/>
  </cols>
  <sheetData>
    <row r="1" spans="1:16" s="1" customFormat="1" x14ac:dyDescent="0.25">
      <c r="A1" s="1" t="s">
        <v>20</v>
      </c>
      <c r="B1" s="1">
        <v>2017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12" t="s">
        <v>84</v>
      </c>
    </row>
    <row r="2" spans="1:16" x14ac:dyDescent="0.25">
      <c r="A2" s="1" t="s">
        <v>14</v>
      </c>
      <c r="B2" s="2"/>
    </row>
    <row r="3" spans="1:16" x14ac:dyDescent="0.25">
      <c r="A3" t="s">
        <v>16</v>
      </c>
      <c r="B3" s="3">
        <v>500</v>
      </c>
      <c r="C3" s="3">
        <v>42</v>
      </c>
      <c r="D3" s="3">
        <f>ROUND(C3*1.03,0)</f>
        <v>43</v>
      </c>
      <c r="E3" s="3">
        <f t="shared" ref="E3:N3" si="0">ROUND(D3*1.03,0)</f>
        <v>44</v>
      </c>
      <c r="F3" s="3">
        <f t="shared" si="0"/>
        <v>45</v>
      </c>
      <c r="G3" s="3">
        <f t="shared" si="0"/>
        <v>46</v>
      </c>
      <c r="H3" s="3">
        <f t="shared" si="0"/>
        <v>47</v>
      </c>
      <c r="I3" s="3">
        <f t="shared" si="0"/>
        <v>48</v>
      </c>
      <c r="J3" s="3">
        <f t="shared" si="0"/>
        <v>49</v>
      </c>
      <c r="K3" s="3">
        <f t="shared" si="0"/>
        <v>50</v>
      </c>
      <c r="L3" s="3">
        <f t="shared" si="0"/>
        <v>52</v>
      </c>
      <c r="M3" s="3">
        <f t="shared" si="0"/>
        <v>54</v>
      </c>
      <c r="N3" s="3">
        <f t="shared" si="0"/>
        <v>56</v>
      </c>
      <c r="O3" s="3">
        <f t="shared" ref="O3:O5" si="1">SUM(C3:N3)</f>
        <v>576</v>
      </c>
      <c r="P3" s="10">
        <f>O3/B3-1</f>
        <v>0.15199999999999991</v>
      </c>
    </row>
    <row r="4" spans="1:16" x14ac:dyDescent="0.25">
      <c r="A4" t="s">
        <v>17</v>
      </c>
      <c r="B4" s="3">
        <v>50</v>
      </c>
      <c r="C4" s="3">
        <v>50</v>
      </c>
      <c r="D4" s="3">
        <v>50</v>
      </c>
      <c r="E4" s="3">
        <v>50</v>
      </c>
      <c r="F4" s="3">
        <v>50</v>
      </c>
      <c r="G4" s="3">
        <v>50</v>
      </c>
      <c r="H4" s="3">
        <v>50</v>
      </c>
      <c r="I4" s="3">
        <v>50</v>
      </c>
      <c r="J4" s="3">
        <v>50</v>
      </c>
      <c r="K4" s="3">
        <v>50</v>
      </c>
      <c r="L4" s="3">
        <v>50</v>
      </c>
      <c r="M4" s="3">
        <v>50</v>
      </c>
      <c r="N4" s="3">
        <v>50</v>
      </c>
    </row>
    <row r="5" spans="1:16" x14ac:dyDescent="0.25">
      <c r="A5" t="s">
        <v>0</v>
      </c>
      <c r="B5" s="3">
        <f>B3*B4</f>
        <v>25000</v>
      </c>
      <c r="C5" s="3">
        <f>C3*C4</f>
        <v>2100</v>
      </c>
      <c r="D5" s="3">
        <f t="shared" ref="D5:N5" si="2">D3*D4</f>
        <v>2150</v>
      </c>
      <c r="E5" s="3">
        <f t="shared" si="2"/>
        <v>2200</v>
      </c>
      <c r="F5" s="3">
        <f t="shared" si="2"/>
        <v>2250</v>
      </c>
      <c r="G5" s="3">
        <f t="shared" si="2"/>
        <v>2300</v>
      </c>
      <c r="H5" s="3">
        <f t="shared" si="2"/>
        <v>2350</v>
      </c>
      <c r="I5" s="3">
        <f t="shared" si="2"/>
        <v>2400</v>
      </c>
      <c r="J5" s="3">
        <f t="shared" si="2"/>
        <v>2450</v>
      </c>
      <c r="K5" s="3">
        <f t="shared" si="2"/>
        <v>2500</v>
      </c>
      <c r="L5" s="3">
        <f t="shared" si="2"/>
        <v>2600</v>
      </c>
      <c r="M5" s="3">
        <f t="shared" si="2"/>
        <v>2700</v>
      </c>
      <c r="N5" s="3">
        <f t="shared" si="2"/>
        <v>2800</v>
      </c>
      <c r="O5" s="3">
        <f t="shared" si="1"/>
        <v>28800</v>
      </c>
      <c r="P5" s="10">
        <f>O5/B5-1</f>
        <v>0.15199999999999991</v>
      </c>
    </row>
    <row r="6" spans="1:16" x14ac:dyDescent="0.25">
      <c r="B6" s="3"/>
    </row>
    <row r="7" spans="1:16" x14ac:dyDescent="0.25">
      <c r="A7" s="1" t="s">
        <v>19</v>
      </c>
      <c r="B7" s="2"/>
    </row>
    <row r="8" spans="1:16" x14ac:dyDescent="0.25">
      <c r="A8" t="s">
        <v>16</v>
      </c>
      <c r="B8" s="3">
        <v>550</v>
      </c>
      <c r="C8" s="3">
        <v>43</v>
      </c>
      <c r="D8" s="3">
        <f>ROUND(C8*1.03,0)</f>
        <v>44</v>
      </c>
      <c r="E8" s="3">
        <f t="shared" ref="E8:N8" si="3">ROUND(D8*1.03,0)</f>
        <v>45</v>
      </c>
      <c r="F8" s="3">
        <f t="shared" si="3"/>
        <v>46</v>
      </c>
      <c r="G8" s="3">
        <f t="shared" si="3"/>
        <v>47</v>
      </c>
      <c r="H8" s="3">
        <f t="shared" si="3"/>
        <v>48</v>
      </c>
      <c r="I8" s="3">
        <f t="shared" si="3"/>
        <v>49</v>
      </c>
      <c r="J8" s="3">
        <f t="shared" si="3"/>
        <v>50</v>
      </c>
      <c r="K8" s="3">
        <f t="shared" si="3"/>
        <v>52</v>
      </c>
      <c r="L8" s="3">
        <f t="shared" si="3"/>
        <v>54</v>
      </c>
      <c r="M8" s="3">
        <f t="shared" si="3"/>
        <v>56</v>
      </c>
      <c r="N8" s="3">
        <f t="shared" si="3"/>
        <v>58</v>
      </c>
      <c r="O8" s="3">
        <f t="shared" ref="O8:O10" si="4">SUM(C8:N8)</f>
        <v>592</v>
      </c>
      <c r="P8" s="10">
        <f>O8/B8-1</f>
        <v>7.6363636363636411E-2</v>
      </c>
    </row>
    <row r="9" spans="1:16" x14ac:dyDescent="0.25">
      <c r="A9" t="s">
        <v>17</v>
      </c>
      <c r="B9" s="3">
        <v>45</v>
      </c>
      <c r="C9" s="3">
        <v>45</v>
      </c>
      <c r="D9" s="3">
        <v>45</v>
      </c>
      <c r="E9" s="3">
        <v>45</v>
      </c>
      <c r="F9" s="3">
        <v>45</v>
      </c>
      <c r="G9" s="3">
        <v>45</v>
      </c>
      <c r="H9" s="3">
        <v>45</v>
      </c>
      <c r="I9" s="3">
        <v>45</v>
      </c>
      <c r="J9" s="3">
        <v>45</v>
      </c>
      <c r="K9" s="3">
        <v>45</v>
      </c>
      <c r="L9" s="3">
        <v>45</v>
      </c>
      <c r="M9" s="3">
        <v>45</v>
      </c>
      <c r="N9" s="3">
        <v>45</v>
      </c>
    </row>
    <row r="10" spans="1:16" x14ac:dyDescent="0.25">
      <c r="A10" t="s">
        <v>0</v>
      </c>
      <c r="B10" s="3">
        <f>B8*B9</f>
        <v>24750</v>
      </c>
      <c r="C10" s="3">
        <f>C8*C9</f>
        <v>1935</v>
      </c>
      <c r="D10" s="3">
        <f t="shared" ref="D10" si="5">D8*D9</f>
        <v>1980</v>
      </c>
      <c r="E10" s="3">
        <f t="shared" ref="E10" si="6">E8*E9</f>
        <v>2025</v>
      </c>
      <c r="F10" s="3">
        <f t="shared" ref="F10" si="7">F8*F9</f>
        <v>2070</v>
      </c>
      <c r="G10" s="3">
        <f t="shared" ref="G10" si="8">G8*G9</f>
        <v>2115</v>
      </c>
      <c r="H10" s="3">
        <f t="shared" ref="H10" si="9">H8*H9</f>
        <v>2160</v>
      </c>
      <c r="I10" s="3">
        <f t="shared" ref="I10" si="10">I8*I9</f>
        <v>2205</v>
      </c>
      <c r="J10" s="3">
        <f t="shared" ref="J10" si="11">J8*J9</f>
        <v>2250</v>
      </c>
      <c r="K10" s="3">
        <f t="shared" ref="K10" si="12">K8*K9</f>
        <v>2340</v>
      </c>
      <c r="L10" s="3">
        <f t="shared" ref="L10" si="13">L8*L9</f>
        <v>2430</v>
      </c>
      <c r="M10" s="3">
        <f t="shared" ref="M10" si="14">M8*M9</f>
        <v>2520</v>
      </c>
      <c r="N10" s="3">
        <f t="shared" ref="N10" si="15">N8*N9</f>
        <v>2610</v>
      </c>
      <c r="O10" s="3">
        <f t="shared" si="4"/>
        <v>26640</v>
      </c>
      <c r="P10" s="10">
        <f>O10/B10-1</f>
        <v>7.6363636363636411E-2</v>
      </c>
    </row>
    <row r="11" spans="1:16" x14ac:dyDescent="0.25">
      <c r="B11" s="3"/>
    </row>
    <row r="12" spans="1:16" s="1" customFormat="1" x14ac:dyDescent="0.25">
      <c r="A12" s="1" t="s">
        <v>18</v>
      </c>
      <c r="B12" s="2">
        <f>B5+B10</f>
        <v>49750</v>
      </c>
      <c r="C12" s="2">
        <f>C5+C10</f>
        <v>4035</v>
      </c>
      <c r="D12" s="2">
        <f t="shared" ref="D12:N12" si="16">D5+D10</f>
        <v>4130</v>
      </c>
      <c r="E12" s="2">
        <f t="shared" si="16"/>
        <v>4225</v>
      </c>
      <c r="F12" s="2">
        <f t="shared" si="16"/>
        <v>4320</v>
      </c>
      <c r="G12" s="2">
        <f t="shared" si="16"/>
        <v>4415</v>
      </c>
      <c r="H12" s="2">
        <f t="shared" si="16"/>
        <v>4510</v>
      </c>
      <c r="I12" s="2">
        <f t="shared" si="16"/>
        <v>4605</v>
      </c>
      <c r="J12" s="2">
        <f t="shared" si="16"/>
        <v>4700</v>
      </c>
      <c r="K12" s="2">
        <f t="shared" si="16"/>
        <v>4840</v>
      </c>
      <c r="L12" s="2">
        <f t="shared" si="16"/>
        <v>5030</v>
      </c>
      <c r="M12" s="2">
        <f t="shared" si="16"/>
        <v>5220</v>
      </c>
      <c r="N12" s="2">
        <f t="shared" si="16"/>
        <v>5410</v>
      </c>
      <c r="O12" s="2">
        <f>O5+O10</f>
        <v>55440</v>
      </c>
      <c r="P12" s="10">
        <f>O12/aruanded!B2-1</f>
        <v>0.11437185929648241</v>
      </c>
    </row>
    <row r="14" spans="1:16" x14ac:dyDescent="0.25">
      <c r="A14" t="s">
        <v>125</v>
      </c>
      <c r="D14" s="8">
        <f t="shared" ref="D14:M14" si="17">D12/C12-1</f>
        <v>2.3543990086740907E-2</v>
      </c>
      <c r="E14" s="8">
        <f t="shared" si="17"/>
        <v>2.300242130750596E-2</v>
      </c>
      <c r="F14" s="8">
        <f t="shared" si="17"/>
        <v>2.2485207100591653E-2</v>
      </c>
      <c r="G14" s="8">
        <f t="shared" si="17"/>
        <v>2.19907407407407E-2</v>
      </c>
      <c r="H14" s="8">
        <f t="shared" si="17"/>
        <v>2.1517553793884536E-2</v>
      </c>
      <c r="I14" s="8">
        <f t="shared" si="17"/>
        <v>2.1064301552106368E-2</v>
      </c>
      <c r="J14" s="8">
        <f t="shared" si="17"/>
        <v>2.0629750271444092E-2</v>
      </c>
      <c r="K14" s="8">
        <f t="shared" si="17"/>
        <v>2.9787234042553123E-2</v>
      </c>
      <c r="L14" s="8">
        <f t="shared" si="17"/>
        <v>3.9256198347107363E-2</v>
      </c>
      <c r="M14" s="8">
        <f t="shared" si="17"/>
        <v>3.7773359840954202E-2</v>
      </c>
      <c r="N14" s="8">
        <f>N12/M12-1</f>
        <v>3.6398467432950277E-2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16" sqref="C16"/>
    </sheetView>
  </sheetViews>
  <sheetFormatPr defaultRowHeight="15" x14ac:dyDescent="0.25"/>
  <cols>
    <col min="1" max="1" width="17.85546875" customWidth="1"/>
    <col min="2" max="2" width="11.85546875" customWidth="1"/>
    <col min="3" max="15" width="8.85546875" style="3"/>
    <col min="16" max="16" width="10.140625" bestFit="1" customWidth="1"/>
  </cols>
  <sheetData>
    <row r="1" spans="1:18" s="13" customFormat="1" x14ac:dyDescent="0.25">
      <c r="A1" s="6" t="s">
        <v>21</v>
      </c>
      <c r="B1" s="6">
        <v>2017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12" t="s">
        <v>84</v>
      </c>
    </row>
    <row r="2" spans="1:18" x14ac:dyDescent="0.25">
      <c r="A2" s="1" t="s">
        <v>14</v>
      </c>
      <c r="B2" s="2"/>
    </row>
    <row r="3" spans="1:18" x14ac:dyDescent="0.25">
      <c r="A3" t="s">
        <v>22</v>
      </c>
      <c r="B3" s="3">
        <v>500</v>
      </c>
      <c r="C3" s="3">
        <f>müügiprognoos!C3</f>
        <v>42</v>
      </c>
      <c r="D3" s="3">
        <f>müügiprognoos!D3</f>
        <v>43</v>
      </c>
      <c r="E3" s="3">
        <f>müügiprognoos!E3</f>
        <v>44</v>
      </c>
      <c r="F3" s="3">
        <f>müügiprognoos!F3</f>
        <v>45</v>
      </c>
      <c r="G3" s="3">
        <f>müügiprognoos!G3</f>
        <v>46</v>
      </c>
      <c r="H3" s="3">
        <f>müügiprognoos!H3</f>
        <v>47</v>
      </c>
      <c r="I3" s="3">
        <f>müügiprognoos!I3</f>
        <v>48</v>
      </c>
      <c r="J3" s="3">
        <f>müügiprognoos!J3</f>
        <v>49</v>
      </c>
      <c r="K3" s="3">
        <f>müügiprognoos!K3</f>
        <v>50</v>
      </c>
      <c r="L3" s="3">
        <f>müügiprognoos!L3</f>
        <v>52</v>
      </c>
      <c r="M3" s="3">
        <f>müügiprognoos!M3</f>
        <v>54</v>
      </c>
      <c r="N3" s="3">
        <f>müügiprognoos!N3</f>
        <v>56</v>
      </c>
      <c r="O3" s="3">
        <f>SUM(C3:N3)</f>
        <v>576</v>
      </c>
      <c r="P3" s="10">
        <f>O3/B3-1</f>
        <v>0.15199999999999991</v>
      </c>
    </row>
    <row r="4" spans="1:18" x14ac:dyDescent="0.25">
      <c r="A4" t="s">
        <v>23</v>
      </c>
      <c r="B4" s="3">
        <v>20</v>
      </c>
      <c r="C4" s="3">
        <v>20</v>
      </c>
      <c r="D4" s="3">
        <v>20</v>
      </c>
      <c r="E4" s="3">
        <v>20</v>
      </c>
      <c r="F4" s="3">
        <v>20</v>
      </c>
      <c r="G4" s="3">
        <v>20</v>
      </c>
      <c r="H4" s="3">
        <v>20</v>
      </c>
      <c r="I4" s="3">
        <v>20</v>
      </c>
      <c r="J4" s="3">
        <v>20</v>
      </c>
      <c r="K4" s="3">
        <v>20</v>
      </c>
      <c r="L4" s="3">
        <v>20</v>
      </c>
      <c r="M4" s="3">
        <v>20</v>
      </c>
      <c r="N4" s="3">
        <v>20</v>
      </c>
    </row>
    <row r="5" spans="1:18" x14ac:dyDescent="0.25">
      <c r="A5" t="s">
        <v>24</v>
      </c>
      <c r="B5" s="3">
        <f>B3*B4</f>
        <v>10000</v>
      </c>
      <c r="C5" s="3">
        <f>C3*C4</f>
        <v>840</v>
      </c>
      <c r="D5" s="3">
        <f t="shared" ref="D5:N5" si="0">D3*D4</f>
        <v>860</v>
      </c>
      <c r="E5" s="3">
        <f t="shared" si="0"/>
        <v>880</v>
      </c>
      <c r="F5" s="3">
        <f t="shared" si="0"/>
        <v>900</v>
      </c>
      <c r="G5" s="3">
        <f t="shared" si="0"/>
        <v>920</v>
      </c>
      <c r="H5" s="3">
        <f t="shared" si="0"/>
        <v>940</v>
      </c>
      <c r="I5" s="3">
        <f t="shared" si="0"/>
        <v>960</v>
      </c>
      <c r="J5" s="3">
        <f t="shared" si="0"/>
        <v>980</v>
      </c>
      <c r="K5" s="3">
        <f t="shared" si="0"/>
        <v>1000</v>
      </c>
      <c r="L5" s="3">
        <f t="shared" si="0"/>
        <v>1040</v>
      </c>
      <c r="M5" s="3">
        <f t="shared" si="0"/>
        <v>1080</v>
      </c>
      <c r="N5" s="3">
        <f t="shared" si="0"/>
        <v>1120</v>
      </c>
      <c r="O5" s="3">
        <f>SUM(C5:N5)</f>
        <v>11520</v>
      </c>
      <c r="P5" s="10">
        <f>O5/B5-1</f>
        <v>0.15199999999999991</v>
      </c>
    </row>
    <row r="6" spans="1:18" x14ac:dyDescent="0.25">
      <c r="B6" s="3"/>
    </row>
    <row r="7" spans="1:18" x14ac:dyDescent="0.25">
      <c r="A7" s="1" t="s">
        <v>15</v>
      </c>
      <c r="B7" s="2"/>
    </row>
    <row r="8" spans="1:18" x14ac:dyDescent="0.25">
      <c r="A8" t="s">
        <v>22</v>
      </c>
      <c r="B8" s="3">
        <v>550</v>
      </c>
      <c r="C8" s="3">
        <f>müügiprognoos!C8</f>
        <v>43</v>
      </c>
      <c r="D8" s="3">
        <f>müügiprognoos!D8</f>
        <v>44</v>
      </c>
      <c r="E8" s="3">
        <f>müügiprognoos!E8</f>
        <v>45</v>
      </c>
      <c r="F8" s="3">
        <f>müügiprognoos!F8</f>
        <v>46</v>
      </c>
      <c r="G8" s="3">
        <f>müügiprognoos!G8</f>
        <v>47</v>
      </c>
      <c r="H8" s="3">
        <f>müügiprognoos!H8</f>
        <v>48</v>
      </c>
      <c r="I8" s="3">
        <f>müügiprognoos!I8</f>
        <v>49</v>
      </c>
      <c r="J8" s="3">
        <f>müügiprognoos!J8</f>
        <v>50</v>
      </c>
      <c r="K8" s="3">
        <f>müügiprognoos!K8</f>
        <v>52</v>
      </c>
      <c r="L8" s="3">
        <f>müügiprognoos!L8</f>
        <v>54</v>
      </c>
      <c r="M8" s="3">
        <f>müügiprognoos!M8</f>
        <v>56</v>
      </c>
      <c r="N8" s="3">
        <f>müügiprognoos!N8</f>
        <v>58</v>
      </c>
      <c r="O8" s="3">
        <f>SUM(C8:N8)</f>
        <v>592</v>
      </c>
      <c r="P8" s="10">
        <f>O8/B8-1</f>
        <v>7.6363636363636411E-2</v>
      </c>
    </row>
    <row r="9" spans="1:18" x14ac:dyDescent="0.25">
      <c r="A9" t="s">
        <v>23</v>
      </c>
      <c r="B9" s="3">
        <v>20</v>
      </c>
      <c r="C9" s="3">
        <v>20</v>
      </c>
      <c r="D9" s="3">
        <v>20</v>
      </c>
      <c r="E9" s="3">
        <v>20</v>
      </c>
      <c r="F9" s="3">
        <v>20</v>
      </c>
      <c r="G9" s="3">
        <v>20</v>
      </c>
      <c r="H9" s="3">
        <v>20</v>
      </c>
      <c r="I9" s="3">
        <v>20</v>
      </c>
      <c r="J9" s="3">
        <v>20</v>
      </c>
      <c r="K9" s="3">
        <v>20</v>
      </c>
      <c r="L9" s="3">
        <v>20</v>
      </c>
      <c r="M9" s="3">
        <v>20</v>
      </c>
      <c r="N9" s="3">
        <v>20</v>
      </c>
    </row>
    <row r="10" spans="1:18" x14ac:dyDescent="0.25">
      <c r="A10" t="s">
        <v>24</v>
      </c>
      <c r="B10" s="3">
        <f>B8*B9</f>
        <v>11000</v>
      </c>
      <c r="C10" s="3">
        <f>C8*C9</f>
        <v>860</v>
      </c>
      <c r="D10" s="3">
        <f t="shared" ref="D10" si="1">D8*D9</f>
        <v>880</v>
      </c>
      <c r="E10" s="3">
        <f t="shared" ref="E10" si="2">E8*E9</f>
        <v>900</v>
      </c>
      <c r="F10" s="3">
        <f t="shared" ref="F10" si="3">F8*F9</f>
        <v>920</v>
      </c>
      <c r="G10" s="3">
        <f t="shared" ref="G10" si="4">G8*G9</f>
        <v>940</v>
      </c>
      <c r="H10" s="3">
        <f t="shared" ref="H10" si="5">H8*H9</f>
        <v>960</v>
      </c>
      <c r="I10" s="3">
        <f t="shared" ref="I10" si="6">I8*I9</f>
        <v>980</v>
      </c>
      <c r="J10" s="3">
        <f t="shared" ref="J10" si="7">J8*J9</f>
        <v>1000</v>
      </c>
      <c r="K10" s="3">
        <f t="shared" ref="K10" si="8">K8*K9</f>
        <v>1040</v>
      </c>
      <c r="L10" s="3">
        <f t="shared" ref="L10" si="9">L8*L9</f>
        <v>1080</v>
      </c>
      <c r="M10" s="3">
        <f t="shared" ref="M10" si="10">M8*M9</f>
        <v>1120</v>
      </c>
      <c r="N10" s="3">
        <f t="shared" ref="N10" si="11">N8*N9</f>
        <v>1160</v>
      </c>
      <c r="O10" s="3">
        <f>SUM(C10:N10)</f>
        <v>11840</v>
      </c>
      <c r="P10" s="10">
        <f>O10/B10-1</f>
        <v>7.6363636363636411E-2</v>
      </c>
    </row>
    <row r="12" spans="1:18" s="1" customFormat="1" x14ac:dyDescent="0.25">
      <c r="A12" s="1" t="s">
        <v>46</v>
      </c>
      <c r="B12" s="2">
        <f>B5+B10</f>
        <v>21000</v>
      </c>
      <c r="C12" s="2">
        <f t="shared" ref="C12:O12" si="12">C5+C10</f>
        <v>1700</v>
      </c>
      <c r="D12" s="2">
        <f t="shared" si="12"/>
        <v>1740</v>
      </c>
      <c r="E12" s="2">
        <f t="shared" si="12"/>
        <v>1780</v>
      </c>
      <c r="F12" s="2">
        <f t="shared" si="12"/>
        <v>1820</v>
      </c>
      <c r="G12" s="2">
        <f t="shared" si="12"/>
        <v>1860</v>
      </c>
      <c r="H12" s="2">
        <f t="shared" si="12"/>
        <v>1900</v>
      </c>
      <c r="I12" s="2">
        <f t="shared" si="12"/>
        <v>1940</v>
      </c>
      <c r="J12" s="2">
        <f t="shared" si="12"/>
        <v>1980</v>
      </c>
      <c r="K12" s="2">
        <f t="shared" si="12"/>
        <v>2040</v>
      </c>
      <c r="L12" s="2">
        <f t="shared" si="12"/>
        <v>2120</v>
      </c>
      <c r="M12" s="2">
        <f t="shared" si="12"/>
        <v>2200</v>
      </c>
      <c r="N12" s="2">
        <f t="shared" si="12"/>
        <v>2280</v>
      </c>
      <c r="O12" s="2">
        <f t="shared" si="12"/>
        <v>23360</v>
      </c>
      <c r="P12" s="10">
        <f>O12/B12-1</f>
        <v>0.11238095238095247</v>
      </c>
    </row>
    <row r="14" spans="1:18" x14ac:dyDescent="0.25">
      <c r="A14" s="1" t="s">
        <v>120</v>
      </c>
      <c r="B14" s="16">
        <v>43100</v>
      </c>
      <c r="P14" s="16"/>
    </row>
    <row r="15" spans="1:18" x14ac:dyDescent="0.25">
      <c r="A15" t="s">
        <v>124</v>
      </c>
      <c r="B15" s="2">
        <f>C5+D5+C10+D10</f>
        <v>3440</v>
      </c>
    </row>
    <row r="16" spans="1:18" x14ac:dyDescent="0.25">
      <c r="A16" s="11" t="s">
        <v>121</v>
      </c>
      <c r="C16" s="3">
        <f t="shared" ref="C16:L16" si="13">E5+E10</f>
        <v>1780</v>
      </c>
      <c r="D16" s="3">
        <f t="shared" si="13"/>
        <v>1820</v>
      </c>
      <c r="E16" s="3">
        <f t="shared" si="13"/>
        <v>1860</v>
      </c>
      <c r="F16" s="3">
        <f t="shared" si="13"/>
        <v>1900</v>
      </c>
      <c r="G16" s="3">
        <f t="shared" si="13"/>
        <v>1940</v>
      </c>
      <c r="H16" s="3">
        <f t="shared" si="13"/>
        <v>1980</v>
      </c>
      <c r="I16" s="3">
        <f t="shared" si="13"/>
        <v>2040</v>
      </c>
      <c r="J16" s="3">
        <f t="shared" si="13"/>
        <v>2120</v>
      </c>
      <c r="K16" s="3">
        <f t="shared" si="13"/>
        <v>2200</v>
      </c>
      <c r="L16" s="3">
        <f t="shared" si="13"/>
        <v>2280</v>
      </c>
      <c r="M16" s="3">
        <f>L16*1.04</f>
        <v>2371.2000000000003</v>
      </c>
      <c r="N16" s="3">
        <f>M16*1.04</f>
        <v>2466.0480000000002</v>
      </c>
      <c r="P16" s="3">
        <f>SUM(C16:N16)</f>
        <v>24757.248</v>
      </c>
      <c r="R16" s="3">
        <f>B15+P16-N18</f>
        <v>23360</v>
      </c>
    </row>
    <row r="17" spans="1:16" x14ac:dyDescent="0.25">
      <c r="A17" s="11" t="s">
        <v>122</v>
      </c>
      <c r="C17" s="3">
        <f>C5+C10</f>
        <v>1700</v>
      </c>
      <c r="D17" s="3">
        <f t="shared" ref="D17:N17" si="14">D5+D10</f>
        <v>1740</v>
      </c>
      <c r="E17" s="3">
        <f t="shared" si="14"/>
        <v>1780</v>
      </c>
      <c r="F17" s="3">
        <f t="shared" si="14"/>
        <v>1820</v>
      </c>
      <c r="G17" s="3">
        <f t="shared" si="14"/>
        <v>1860</v>
      </c>
      <c r="H17" s="3">
        <f t="shared" si="14"/>
        <v>1900</v>
      </c>
      <c r="I17" s="3">
        <f t="shared" si="14"/>
        <v>1940</v>
      </c>
      <c r="J17" s="3">
        <f t="shared" si="14"/>
        <v>1980</v>
      </c>
      <c r="K17" s="3">
        <f t="shared" si="14"/>
        <v>2040</v>
      </c>
      <c r="L17" s="3">
        <f t="shared" si="14"/>
        <v>2120</v>
      </c>
      <c r="M17" s="3">
        <f t="shared" si="14"/>
        <v>2200</v>
      </c>
      <c r="N17" s="3">
        <f t="shared" si="14"/>
        <v>2280</v>
      </c>
      <c r="P17" s="3">
        <f>SUM(C17:N17)</f>
        <v>23360</v>
      </c>
    </row>
    <row r="18" spans="1:16" x14ac:dyDescent="0.25">
      <c r="A18" s="1" t="s">
        <v>123</v>
      </c>
      <c r="C18" s="3">
        <f>B15+C16-C17</f>
        <v>3520</v>
      </c>
      <c r="D18" s="3">
        <f>C18+D16-D17</f>
        <v>3600</v>
      </c>
      <c r="E18" s="3">
        <f t="shared" ref="E18:N18" si="15">D18+E16-E17</f>
        <v>3680</v>
      </c>
      <c r="F18" s="3">
        <f t="shared" si="15"/>
        <v>3760</v>
      </c>
      <c r="G18" s="3">
        <f t="shared" si="15"/>
        <v>3840</v>
      </c>
      <c r="H18" s="3">
        <f t="shared" si="15"/>
        <v>3920</v>
      </c>
      <c r="I18" s="3">
        <f t="shared" si="15"/>
        <v>4020</v>
      </c>
      <c r="J18" s="3">
        <f t="shared" si="15"/>
        <v>4160</v>
      </c>
      <c r="K18" s="3">
        <f t="shared" si="15"/>
        <v>4320</v>
      </c>
      <c r="L18" s="3">
        <f t="shared" si="15"/>
        <v>4480</v>
      </c>
      <c r="M18" s="3">
        <f t="shared" si="15"/>
        <v>4651.2000000000007</v>
      </c>
      <c r="N18" s="2">
        <f t="shared" si="15"/>
        <v>4837.2480000000014</v>
      </c>
      <c r="P18" s="3">
        <f>SUM(C18:N18)</f>
        <v>48788.447999999997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workbookViewId="0">
      <selection activeCell="C20" sqref="C20"/>
    </sheetView>
  </sheetViews>
  <sheetFormatPr defaultRowHeight="15" x14ac:dyDescent="0.25"/>
  <cols>
    <col min="3" max="11" width="8.7109375" customWidth="1"/>
    <col min="12" max="12" width="10" bestFit="1" customWidth="1"/>
    <col min="13" max="13" width="8.7109375" bestFit="1" customWidth="1"/>
    <col min="14" max="14" width="9.7109375" bestFit="1" customWidth="1"/>
    <col min="15" max="15" width="10" bestFit="1" customWidth="1"/>
  </cols>
  <sheetData>
    <row r="2" spans="1:17" x14ac:dyDescent="0.25">
      <c r="A2" s="1" t="s">
        <v>83</v>
      </c>
      <c r="B2" s="3"/>
      <c r="C2" s="6">
        <v>2017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12" t="s">
        <v>84</v>
      </c>
    </row>
    <row r="3" spans="1:17" x14ac:dyDescent="0.25">
      <c r="A3" t="s">
        <v>38</v>
      </c>
      <c r="B3" s="3"/>
      <c r="C3" s="3">
        <f>470*12</f>
        <v>5640</v>
      </c>
      <c r="D3" s="3">
        <v>500</v>
      </c>
      <c r="E3" s="3">
        <v>500</v>
      </c>
      <c r="F3" s="3">
        <v>500</v>
      </c>
      <c r="G3" s="3">
        <v>500</v>
      </c>
      <c r="H3" s="3">
        <v>500</v>
      </c>
      <c r="I3" s="3">
        <v>500</v>
      </c>
      <c r="J3" s="3">
        <v>500</v>
      </c>
      <c r="K3" s="3">
        <v>500</v>
      </c>
      <c r="L3" s="3">
        <v>500</v>
      </c>
      <c r="M3" s="3">
        <v>500</v>
      </c>
      <c r="N3" s="3">
        <v>500</v>
      </c>
      <c r="O3" s="3">
        <v>500</v>
      </c>
      <c r="P3" s="3">
        <f>SUM(D3:O3)</f>
        <v>6000</v>
      </c>
      <c r="Q3" s="10">
        <f>P3/C3-1</f>
        <v>6.3829787234042534E-2</v>
      </c>
    </row>
    <row r="4" spans="1:17" x14ac:dyDescent="0.25">
      <c r="A4" t="s">
        <v>39</v>
      </c>
      <c r="B4" s="3"/>
      <c r="C4" s="3">
        <f>C3*33.8%</f>
        <v>1906.3199999999997</v>
      </c>
      <c r="D4" s="3">
        <f>D3*33.8%</f>
        <v>168.99999999999997</v>
      </c>
      <c r="E4" s="3">
        <f t="shared" ref="E4:O4" si="0">E3*33.8%</f>
        <v>168.99999999999997</v>
      </c>
      <c r="F4" s="3">
        <f t="shared" si="0"/>
        <v>168.99999999999997</v>
      </c>
      <c r="G4" s="3">
        <f t="shared" si="0"/>
        <v>168.99999999999997</v>
      </c>
      <c r="H4" s="3">
        <f t="shared" si="0"/>
        <v>168.99999999999997</v>
      </c>
      <c r="I4" s="3">
        <f t="shared" si="0"/>
        <v>168.99999999999997</v>
      </c>
      <c r="J4" s="3">
        <f t="shared" si="0"/>
        <v>168.99999999999997</v>
      </c>
      <c r="K4" s="3">
        <f t="shared" si="0"/>
        <v>168.99999999999997</v>
      </c>
      <c r="L4" s="3">
        <f t="shared" si="0"/>
        <v>168.99999999999997</v>
      </c>
      <c r="M4" s="3">
        <f t="shared" si="0"/>
        <v>168.99999999999997</v>
      </c>
      <c r="N4" s="3">
        <f t="shared" si="0"/>
        <v>168.99999999999997</v>
      </c>
      <c r="O4" s="3">
        <f t="shared" si="0"/>
        <v>168.99999999999997</v>
      </c>
      <c r="P4" s="3">
        <f>SUM(D4:O4)</f>
        <v>2027.9999999999998</v>
      </c>
    </row>
    <row r="5" spans="1:17" s="1" customFormat="1" x14ac:dyDescent="0.25">
      <c r="A5" s="1" t="s">
        <v>40</v>
      </c>
      <c r="B5" s="2"/>
      <c r="C5" s="2">
        <f t="shared" ref="C5:O5" si="1">SUM(C3:C4)</f>
        <v>7546.32</v>
      </c>
      <c r="D5" s="2">
        <f t="shared" si="1"/>
        <v>669</v>
      </c>
      <c r="E5" s="2">
        <f t="shared" si="1"/>
        <v>669</v>
      </c>
      <c r="F5" s="2">
        <f t="shared" si="1"/>
        <v>669</v>
      </c>
      <c r="G5" s="2">
        <f t="shared" si="1"/>
        <v>669</v>
      </c>
      <c r="H5" s="2">
        <f t="shared" si="1"/>
        <v>669</v>
      </c>
      <c r="I5" s="2">
        <f t="shared" si="1"/>
        <v>669</v>
      </c>
      <c r="J5" s="2">
        <f t="shared" si="1"/>
        <v>669</v>
      </c>
      <c r="K5" s="2">
        <f t="shared" si="1"/>
        <v>669</v>
      </c>
      <c r="L5" s="2">
        <f t="shared" si="1"/>
        <v>669</v>
      </c>
      <c r="M5" s="2">
        <f t="shared" si="1"/>
        <v>669</v>
      </c>
      <c r="N5" s="2">
        <f t="shared" si="1"/>
        <v>669</v>
      </c>
      <c r="O5" s="2">
        <f t="shared" si="1"/>
        <v>669</v>
      </c>
      <c r="P5" s="2">
        <f>SUM(D5:O5)</f>
        <v>8028</v>
      </c>
      <c r="Q5" s="14">
        <f>P5/C5-1</f>
        <v>6.3829787234042534E-2</v>
      </c>
    </row>
    <row r="6" spans="1:17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x14ac:dyDescent="0.25">
      <c r="A7" s="1" t="s">
        <v>33</v>
      </c>
      <c r="C7" s="3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4" t="s">
        <v>13</v>
      </c>
    </row>
    <row r="8" spans="1:17" x14ac:dyDescent="0.25">
      <c r="A8" t="s">
        <v>34</v>
      </c>
      <c r="C8" s="3">
        <v>1100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  <c r="M8" s="5">
        <v>100</v>
      </c>
      <c r="N8" s="5">
        <v>100</v>
      </c>
      <c r="O8" s="5">
        <v>100</v>
      </c>
      <c r="P8" s="5">
        <f>SUM(D8:O8)</f>
        <v>1200</v>
      </c>
      <c r="Q8" s="10">
        <f>P8/C8-1</f>
        <v>9.0909090909090828E-2</v>
      </c>
    </row>
    <row r="9" spans="1:17" x14ac:dyDescent="0.25">
      <c r="A9" t="s">
        <v>35</v>
      </c>
      <c r="C9" s="3">
        <v>700</v>
      </c>
      <c r="D9" s="5">
        <v>70</v>
      </c>
      <c r="E9" s="5">
        <v>70</v>
      </c>
      <c r="F9" s="5">
        <v>70</v>
      </c>
      <c r="G9" s="5">
        <v>70</v>
      </c>
      <c r="H9" s="5">
        <v>70</v>
      </c>
      <c r="I9" s="5">
        <v>70</v>
      </c>
      <c r="J9" s="5">
        <v>70</v>
      </c>
      <c r="K9" s="5">
        <v>70</v>
      </c>
      <c r="L9" s="5">
        <v>70</v>
      </c>
      <c r="M9" s="5">
        <v>70</v>
      </c>
      <c r="N9" s="5">
        <v>70</v>
      </c>
      <c r="O9" s="5">
        <v>70</v>
      </c>
      <c r="P9" s="5">
        <f t="shared" ref="P9:P10" si="2">SUM(D9:O9)</f>
        <v>840</v>
      </c>
      <c r="Q9" s="10">
        <f>P9/C9-1</f>
        <v>0.19999999999999996</v>
      </c>
    </row>
    <row r="10" spans="1:17" x14ac:dyDescent="0.25">
      <c r="A10" t="s">
        <v>36</v>
      </c>
      <c r="C10" s="3">
        <v>2200</v>
      </c>
      <c r="D10" s="5">
        <v>200</v>
      </c>
      <c r="E10" s="5">
        <v>200</v>
      </c>
      <c r="F10" s="5">
        <v>200</v>
      </c>
      <c r="G10" s="5">
        <v>200</v>
      </c>
      <c r="H10" s="5">
        <v>200</v>
      </c>
      <c r="I10" s="5">
        <v>200</v>
      </c>
      <c r="J10" s="5">
        <v>200</v>
      </c>
      <c r="K10" s="5">
        <v>200</v>
      </c>
      <c r="L10" s="5">
        <v>200</v>
      </c>
      <c r="M10" s="5">
        <v>200</v>
      </c>
      <c r="N10" s="5">
        <v>200</v>
      </c>
      <c r="O10" s="5">
        <v>200</v>
      </c>
      <c r="P10" s="5">
        <f t="shared" si="2"/>
        <v>2400</v>
      </c>
      <c r="Q10" s="10">
        <f>P10/C10-1</f>
        <v>9.0909090909090828E-2</v>
      </c>
    </row>
    <row r="11" spans="1:17" s="1" customFormat="1" x14ac:dyDescent="0.25">
      <c r="A11" s="1" t="s">
        <v>45</v>
      </c>
      <c r="C11" s="4">
        <f t="shared" ref="C11:P11" si="3">SUM(C8:C10)</f>
        <v>4000</v>
      </c>
      <c r="D11" s="4">
        <f t="shared" si="3"/>
        <v>370</v>
      </c>
      <c r="E11" s="4">
        <f t="shared" si="3"/>
        <v>370</v>
      </c>
      <c r="F11" s="4">
        <f t="shared" si="3"/>
        <v>370</v>
      </c>
      <c r="G11" s="4">
        <f t="shared" si="3"/>
        <v>370</v>
      </c>
      <c r="H11" s="4">
        <f t="shared" si="3"/>
        <v>370</v>
      </c>
      <c r="I11" s="4">
        <f t="shared" si="3"/>
        <v>370</v>
      </c>
      <c r="J11" s="4">
        <f t="shared" si="3"/>
        <v>370</v>
      </c>
      <c r="K11" s="4">
        <f t="shared" si="3"/>
        <v>370</v>
      </c>
      <c r="L11" s="4">
        <f t="shared" si="3"/>
        <v>370</v>
      </c>
      <c r="M11" s="4">
        <f t="shared" si="3"/>
        <v>370</v>
      </c>
      <c r="N11" s="4">
        <f t="shared" si="3"/>
        <v>370</v>
      </c>
      <c r="O11" s="4">
        <f t="shared" si="3"/>
        <v>370</v>
      </c>
      <c r="P11" s="4">
        <f t="shared" si="3"/>
        <v>4440</v>
      </c>
      <c r="Q11" s="10">
        <f>P11/C11-1</f>
        <v>0.1100000000000001</v>
      </c>
    </row>
    <row r="12" spans="1:17" x14ac:dyDescent="0.25">
      <c r="C12" s="3"/>
    </row>
    <row r="13" spans="1:17" x14ac:dyDescent="0.25">
      <c r="A13" s="1" t="s">
        <v>43</v>
      </c>
      <c r="B13" s="4"/>
      <c r="C13" s="4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  <c r="I13" s="4" t="s">
        <v>6</v>
      </c>
      <c r="J13" s="4" t="s">
        <v>7</v>
      </c>
      <c r="K13" s="4" t="s">
        <v>8</v>
      </c>
      <c r="L13" s="4" t="s">
        <v>9</v>
      </c>
      <c r="M13" s="4" t="s">
        <v>10</v>
      </c>
      <c r="N13" s="4" t="s">
        <v>11</v>
      </c>
      <c r="O13" s="4" t="s">
        <v>12</v>
      </c>
      <c r="P13" s="4" t="s">
        <v>13</v>
      </c>
    </row>
    <row r="14" spans="1:17" x14ac:dyDescent="0.25">
      <c r="A14" t="s">
        <v>41</v>
      </c>
      <c r="B14" s="3"/>
      <c r="C14" s="3">
        <v>3500</v>
      </c>
      <c r="D14" s="3">
        <v>300</v>
      </c>
      <c r="E14" s="3">
        <v>300</v>
      </c>
      <c r="F14" s="3">
        <v>300</v>
      </c>
      <c r="G14" s="3">
        <v>300</v>
      </c>
      <c r="H14" s="3">
        <v>300</v>
      </c>
      <c r="I14" s="3">
        <v>300</v>
      </c>
      <c r="J14" s="3">
        <v>300</v>
      </c>
      <c r="K14" s="3">
        <v>300</v>
      </c>
      <c r="L14" s="3">
        <v>300</v>
      </c>
      <c r="M14" s="3">
        <v>300</v>
      </c>
      <c r="N14" s="3">
        <v>300</v>
      </c>
      <c r="O14" s="3">
        <v>300</v>
      </c>
      <c r="P14" s="5">
        <f t="shared" ref="P14:P16" si="4">SUM(D14:O14)</f>
        <v>3600</v>
      </c>
      <c r="Q14" s="10">
        <f>P14/C14-1</f>
        <v>2.857142857142847E-2</v>
      </c>
    </row>
    <row r="15" spans="1:17" x14ac:dyDescent="0.25">
      <c r="A15" t="s">
        <v>42</v>
      </c>
      <c r="B15" s="3"/>
      <c r="C15" s="3">
        <v>1200</v>
      </c>
      <c r="D15" s="3">
        <v>100</v>
      </c>
      <c r="E15" s="3">
        <v>100</v>
      </c>
      <c r="F15" s="3">
        <v>100</v>
      </c>
      <c r="G15" s="3">
        <v>100</v>
      </c>
      <c r="H15" s="3">
        <v>100</v>
      </c>
      <c r="I15" s="3">
        <v>100</v>
      </c>
      <c r="J15" s="3">
        <v>100</v>
      </c>
      <c r="K15" s="3">
        <v>100</v>
      </c>
      <c r="L15" s="3">
        <v>100</v>
      </c>
      <c r="M15" s="3">
        <v>100</v>
      </c>
      <c r="N15" s="3">
        <v>100</v>
      </c>
      <c r="O15" s="3">
        <v>100</v>
      </c>
      <c r="P15" s="5">
        <f t="shared" si="4"/>
        <v>1200</v>
      </c>
      <c r="Q15" s="10">
        <f t="shared" ref="Q15:Q17" si="5">P15/C15-1</f>
        <v>0</v>
      </c>
    </row>
    <row r="16" spans="1:17" x14ac:dyDescent="0.25">
      <c r="A16" t="s">
        <v>37</v>
      </c>
      <c r="B16" s="3"/>
      <c r="C16" s="3">
        <v>2950</v>
      </c>
      <c r="D16" s="3">
        <v>250</v>
      </c>
      <c r="E16" s="3">
        <v>250</v>
      </c>
      <c r="F16" s="3">
        <v>250</v>
      </c>
      <c r="G16" s="3">
        <v>250</v>
      </c>
      <c r="H16" s="3">
        <v>250</v>
      </c>
      <c r="I16" s="3">
        <v>250</v>
      </c>
      <c r="J16" s="3">
        <v>250</v>
      </c>
      <c r="K16" s="3">
        <v>250</v>
      </c>
      <c r="L16" s="3">
        <v>250</v>
      </c>
      <c r="M16" s="3">
        <v>250</v>
      </c>
      <c r="N16" s="3">
        <v>250</v>
      </c>
      <c r="O16" s="3">
        <v>250</v>
      </c>
      <c r="P16" s="5">
        <f t="shared" si="4"/>
        <v>3000</v>
      </c>
      <c r="Q16" s="10">
        <f t="shared" si="5"/>
        <v>1.6949152542372836E-2</v>
      </c>
    </row>
    <row r="17" spans="1:17" s="1" customFormat="1" x14ac:dyDescent="0.25">
      <c r="A17" s="1" t="s">
        <v>44</v>
      </c>
      <c r="B17" s="2"/>
      <c r="C17" s="2">
        <f t="shared" ref="C17:P17" si="6">SUM(C14:C16)</f>
        <v>7650</v>
      </c>
      <c r="D17" s="2">
        <f t="shared" si="6"/>
        <v>650</v>
      </c>
      <c r="E17" s="2">
        <f t="shared" si="6"/>
        <v>650</v>
      </c>
      <c r="F17" s="2">
        <f t="shared" si="6"/>
        <v>650</v>
      </c>
      <c r="G17" s="2">
        <f t="shared" si="6"/>
        <v>650</v>
      </c>
      <c r="H17" s="2">
        <f t="shared" si="6"/>
        <v>650</v>
      </c>
      <c r="I17" s="2">
        <f t="shared" si="6"/>
        <v>650</v>
      </c>
      <c r="J17" s="2">
        <f t="shared" si="6"/>
        <v>650</v>
      </c>
      <c r="K17" s="2">
        <f t="shared" si="6"/>
        <v>650</v>
      </c>
      <c r="L17" s="2">
        <f t="shared" si="6"/>
        <v>650</v>
      </c>
      <c r="M17" s="2">
        <f t="shared" si="6"/>
        <v>650</v>
      </c>
      <c r="N17" s="2">
        <f t="shared" si="6"/>
        <v>650</v>
      </c>
      <c r="O17" s="2">
        <f t="shared" si="6"/>
        <v>650</v>
      </c>
      <c r="P17" s="2">
        <f t="shared" si="6"/>
        <v>7800</v>
      </c>
      <c r="Q17" s="10">
        <f t="shared" si="5"/>
        <v>1.9607843137254832E-2</v>
      </c>
    </row>
    <row r="19" spans="1:17" x14ac:dyDescent="0.25">
      <c r="A19" s="1" t="s">
        <v>87</v>
      </c>
    </row>
    <row r="20" spans="1:17" x14ac:dyDescent="0.25">
      <c r="A20" t="s">
        <v>29</v>
      </c>
      <c r="C20" s="3">
        <v>1000</v>
      </c>
      <c r="D20">
        <v>85</v>
      </c>
      <c r="E20">
        <v>85</v>
      </c>
      <c r="F20">
        <v>85</v>
      </c>
      <c r="G20">
        <v>85</v>
      </c>
      <c r="H20">
        <v>85</v>
      </c>
      <c r="I20">
        <v>85</v>
      </c>
      <c r="J20">
        <v>85</v>
      </c>
      <c r="K20">
        <v>85</v>
      </c>
      <c r="L20">
        <v>85</v>
      </c>
      <c r="M20">
        <v>85</v>
      </c>
      <c r="N20">
        <v>85</v>
      </c>
      <c r="O20">
        <v>85</v>
      </c>
      <c r="P20" s="5">
        <f t="shared" ref="P20" si="7">SUM(D20:O20)</f>
        <v>1020</v>
      </c>
      <c r="Q20" s="10">
        <f t="shared" ref="Q20" si="8">P20/C20-1</f>
        <v>2.0000000000000018E-2</v>
      </c>
    </row>
    <row r="22" spans="1:17" x14ac:dyDescent="0.25">
      <c r="C22" s="1">
        <v>2017</v>
      </c>
      <c r="D22" s="1">
        <v>2018</v>
      </c>
    </row>
    <row r="23" spans="1:17" x14ac:dyDescent="0.25">
      <c r="A23" t="s">
        <v>105</v>
      </c>
      <c r="C23">
        <v>470</v>
      </c>
      <c r="D23">
        <v>500</v>
      </c>
    </row>
    <row r="24" spans="1:17" x14ac:dyDescent="0.25">
      <c r="A24" t="s">
        <v>106</v>
      </c>
      <c r="C24">
        <v>453</v>
      </c>
      <c r="D24">
        <v>482</v>
      </c>
    </row>
    <row r="25" spans="1:17" x14ac:dyDescent="0.25">
      <c r="A25" t="s">
        <v>107</v>
      </c>
      <c r="C25">
        <v>176</v>
      </c>
      <c r="D25">
        <v>187</v>
      </c>
    </row>
    <row r="26" spans="1:17" x14ac:dyDescent="0.25">
      <c r="A26" t="s">
        <v>109</v>
      </c>
      <c r="C26">
        <f>(C24+C25)*12</f>
        <v>7548</v>
      </c>
      <c r="D26">
        <f>(D24+D25)*12</f>
        <v>8028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D6" sqref="D6"/>
    </sheetView>
  </sheetViews>
  <sheetFormatPr defaultRowHeight="15" x14ac:dyDescent="0.25"/>
  <cols>
    <col min="1" max="1" width="9.140625" customWidth="1"/>
    <col min="2" max="2" width="10.7109375" bestFit="1" customWidth="1"/>
    <col min="3" max="3" width="10.140625" customWidth="1"/>
    <col min="4" max="4" width="10.7109375" bestFit="1" customWidth="1"/>
    <col min="6" max="6" width="10.42578125" customWidth="1"/>
    <col min="8" max="8" width="10.140625" bestFit="1" customWidth="1"/>
    <col min="15" max="15" width="10" bestFit="1" customWidth="1"/>
    <col min="17" max="17" width="9.7109375" bestFit="1" customWidth="1"/>
    <col min="18" max="18" width="10" bestFit="1" customWidth="1"/>
    <col min="19" max="19" width="10" customWidth="1"/>
    <col min="20" max="20" width="10.42578125" customWidth="1"/>
    <col min="21" max="21" width="8" customWidth="1"/>
  </cols>
  <sheetData>
    <row r="1" spans="1:22" s="1" customFormat="1" x14ac:dyDescent="0.25">
      <c r="D1" s="18">
        <v>43100</v>
      </c>
      <c r="G1" s="19">
        <v>2018</v>
      </c>
      <c r="H1" s="17"/>
      <c r="T1" s="18">
        <v>43100</v>
      </c>
    </row>
    <row r="2" spans="1:22" s="1" customFormat="1" x14ac:dyDescent="0.25">
      <c r="B2" s="1" t="s">
        <v>90</v>
      </c>
      <c r="C2" s="1" t="s">
        <v>91</v>
      </c>
      <c r="D2" s="1" t="s">
        <v>94</v>
      </c>
      <c r="E2" s="1" t="s">
        <v>88</v>
      </c>
      <c r="F2" s="1" t="s">
        <v>89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4" t="s">
        <v>13</v>
      </c>
      <c r="T2" s="1" t="s">
        <v>94</v>
      </c>
      <c r="U2" s="1" t="s">
        <v>88</v>
      </c>
      <c r="V2" s="1" t="s">
        <v>89</v>
      </c>
    </row>
    <row r="3" spans="1:22" x14ac:dyDescent="0.25">
      <c r="C3" s="1" t="s">
        <v>92</v>
      </c>
      <c r="D3" s="1" t="s">
        <v>93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" t="s">
        <v>93</v>
      </c>
      <c r="U3" s="3"/>
      <c r="V3" s="3"/>
    </row>
    <row r="4" spans="1:22" x14ac:dyDescent="0.25">
      <c r="A4" t="s">
        <v>140</v>
      </c>
      <c r="B4" s="16">
        <v>42979</v>
      </c>
      <c r="C4">
        <v>36</v>
      </c>
      <c r="D4">
        <v>6000</v>
      </c>
      <c r="E4" s="3">
        <f>3*D4/C4</f>
        <v>500</v>
      </c>
      <c r="F4" s="3">
        <f>D4-E4</f>
        <v>5500</v>
      </c>
      <c r="G4" s="3">
        <f>D4/C4</f>
        <v>166.66666666666666</v>
      </c>
      <c r="H4" s="3">
        <f>G4</f>
        <v>166.66666666666666</v>
      </c>
      <c r="I4" s="3">
        <f t="shared" ref="I4:R5" si="0">H4</f>
        <v>166.66666666666666</v>
      </c>
      <c r="J4" s="3">
        <f t="shared" si="0"/>
        <v>166.66666666666666</v>
      </c>
      <c r="K4" s="3">
        <f t="shared" si="0"/>
        <v>166.66666666666666</v>
      </c>
      <c r="L4" s="3">
        <f t="shared" si="0"/>
        <v>166.66666666666666</v>
      </c>
      <c r="M4" s="3">
        <f t="shared" si="0"/>
        <v>166.66666666666666</v>
      </c>
      <c r="N4" s="3">
        <f t="shared" si="0"/>
        <v>166.66666666666666</v>
      </c>
      <c r="O4" s="3">
        <f t="shared" si="0"/>
        <v>166.66666666666666</v>
      </c>
      <c r="P4" s="3">
        <f t="shared" si="0"/>
        <v>166.66666666666666</v>
      </c>
      <c r="Q4" s="3">
        <f t="shared" si="0"/>
        <v>166.66666666666666</v>
      </c>
      <c r="R4" s="3">
        <f t="shared" si="0"/>
        <v>166.66666666666666</v>
      </c>
      <c r="S4" s="3">
        <f>SUM(G4:R4)</f>
        <v>2000.0000000000002</v>
      </c>
      <c r="T4" s="3">
        <f>D4</f>
        <v>6000</v>
      </c>
      <c r="U4" s="3">
        <f>E4+S4</f>
        <v>2500</v>
      </c>
      <c r="V4" s="3">
        <f>T4-U4</f>
        <v>3500</v>
      </c>
    </row>
    <row r="5" spans="1:22" x14ac:dyDescent="0.25">
      <c r="A5" t="s">
        <v>141</v>
      </c>
      <c r="B5" s="16">
        <v>43132</v>
      </c>
      <c r="C5">
        <v>60</v>
      </c>
      <c r="D5">
        <v>5000</v>
      </c>
      <c r="E5" s="3"/>
      <c r="F5" s="3"/>
      <c r="G5" s="3"/>
      <c r="H5" s="3"/>
      <c r="I5" s="3">
        <f>D5/C5</f>
        <v>83.333333333333329</v>
      </c>
      <c r="J5" s="3">
        <f t="shared" si="0"/>
        <v>83.333333333333329</v>
      </c>
      <c r="K5" s="3">
        <f t="shared" si="0"/>
        <v>83.333333333333329</v>
      </c>
      <c r="L5" s="3">
        <f t="shared" si="0"/>
        <v>83.333333333333329</v>
      </c>
      <c r="M5" s="3">
        <f t="shared" si="0"/>
        <v>83.333333333333329</v>
      </c>
      <c r="N5" s="3">
        <f t="shared" si="0"/>
        <v>83.333333333333329</v>
      </c>
      <c r="O5" s="3">
        <f t="shared" si="0"/>
        <v>83.333333333333329</v>
      </c>
      <c r="P5" s="3">
        <f t="shared" si="0"/>
        <v>83.333333333333329</v>
      </c>
      <c r="Q5" s="3">
        <f t="shared" si="0"/>
        <v>83.333333333333329</v>
      </c>
      <c r="R5" s="3">
        <f t="shared" si="0"/>
        <v>83.333333333333329</v>
      </c>
      <c r="S5" s="3">
        <f>SUM(G5:R5)</f>
        <v>833.33333333333337</v>
      </c>
      <c r="T5" s="3">
        <f>D5</f>
        <v>5000</v>
      </c>
      <c r="U5" s="3">
        <f>E5+S5</f>
        <v>833.33333333333337</v>
      </c>
      <c r="V5" s="3">
        <f>T5-U5</f>
        <v>4166.666666666667</v>
      </c>
    </row>
    <row r="6" spans="1:22" x14ac:dyDescent="0.25">
      <c r="E6" s="3"/>
      <c r="F6" s="3">
        <f t="shared" ref="F6:V6" si="1">SUM(F4:F5)</f>
        <v>5500</v>
      </c>
      <c r="G6" s="3">
        <f t="shared" si="1"/>
        <v>166.66666666666666</v>
      </c>
      <c r="H6" s="3">
        <f t="shared" si="1"/>
        <v>166.66666666666666</v>
      </c>
      <c r="I6" s="3">
        <f t="shared" si="1"/>
        <v>250</v>
      </c>
      <c r="J6" s="3">
        <f t="shared" si="1"/>
        <v>250</v>
      </c>
      <c r="K6" s="3">
        <f t="shared" si="1"/>
        <v>250</v>
      </c>
      <c r="L6" s="3">
        <f t="shared" si="1"/>
        <v>250</v>
      </c>
      <c r="M6" s="3">
        <f t="shared" si="1"/>
        <v>250</v>
      </c>
      <c r="N6" s="3">
        <f t="shared" si="1"/>
        <v>250</v>
      </c>
      <c r="O6" s="3">
        <f t="shared" si="1"/>
        <v>250</v>
      </c>
      <c r="P6" s="3">
        <f t="shared" si="1"/>
        <v>250</v>
      </c>
      <c r="Q6" s="3">
        <f t="shared" si="1"/>
        <v>250</v>
      </c>
      <c r="R6" s="3">
        <f t="shared" si="1"/>
        <v>250</v>
      </c>
      <c r="S6" s="3">
        <f t="shared" si="1"/>
        <v>2833.3333333333335</v>
      </c>
      <c r="T6" s="3">
        <f t="shared" si="1"/>
        <v>11000</v>
      </c>
      <c r="U6" s="3">
        <f t="shared" si="1"/>
        <v>3333.3333333333335</v>
      </c>
      <c r="V6" s="3">
        <f t="shared" si="1"/>
        <v>7666.666666666667</v>
      </c>
    </row>
    <row r="7" spans="1:22" x14ac:dyDescent="0.25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19" workbookViewId="0">
      <selection activeCell="U3" sqref="U3"/>
    </sheetView>
  </sheetViews>
  <sheetFormatPr defaultRowHeight="15" x14ac:dyDescent="0.25"/>
  <cols>
    <col min="1" max="1" width="29" customWidth="1"/>
    <col min="2" max="2" width="15" customWidth="1"/>
    <col min="3" max="3" width="11" customWidth="1"/>
    <col min="4" max="11" width="8.85546875" style="5"/>
    <col min="12" max="12" width="10" style="5" bestFit="1" customWidth="1"/>
    <col min="13" max="13" width="8.85546875" style="5"/>
    <col min="14" max="14" width="9.7109375" style="5" bestFit="1" customWidth="1"/>
    <col min="15" max="15" width="9.7109375" style="5" customWidth="1"/>
    <col min="16" max="16" width="8.85546875" style="5"/>
    <col min="17" max="17" width="13" customWidth="1"/>
    <col min="18" max="18" width="4" customWidth="1"/>
    <col min="19" max="19" width="5.28515625" customWidth="1"/>
  </cols>
  <sheetData>
    <row r="1" spans="1:20" x14ac:dyDescent="0.25">
      <c r="A1" s="1" t="s">
        <v>98</v>
      </c>
      <c r="B1" s="1"/>
      <c r="C1" s="17" t="s">
        <v>156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17" t="s">
        <v>157</v>
      </c>
    </row>
    <row r="2" spans="1:20" x14ac:dyDescent="0.25">
      <c r="A2" s="1"/>
      <c r="B2" s="1"/>
      <c r="C2" s="17" t="s">
        <v>128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7" t="s">
        <v>128</v>
      </c>
    </row>
    <row r="3" spans="1:20" s="3" customFormat="1" x14ac:dyDescent="0.25">
      <c r="A3" s="3" t="s">
        <v>99</v>
      </c>
      <c r="D3" s="5">
        <f>aruanded!B18</f>
        <v>1213</v>
      </c>
      <c r="E3" s="5">
        <f t="shared" ref="E3:O3" si="0">D31</f>
        <v>1789.8333333333335</v>
      </c>
      <c r="F3" s="5">
        <f t="shared" si="0"/>
        <v>2281.8333333333339</v>
      </c>
      <c r="G3" s="5">
        <f t="shared" si="0"/>
        <v>297.00000000000063</v>
      </c>
      <c r="H3" s="5">
        <f t="shared" si="0"/>
        <v>867.16666666666754</v>
      </c>
      <c r="I3" s="5">
        <f t="shared" si="0"/>
        <v>996.50000000000125</v>
      </c>
      <c r="J3" s="5">
        <f t="shared" si="0"/>
        <v>1185.0000000000009</v>
      </c>
      <c r="K3" s="5">
        <f t="shared" si="0"/>
        <v>1432.6666666666677</v>
      </c>
      <c r="L3" s="5">
        <f t="shared" si="0"/>
        <v>1719.5000000000011</v>
      </c>
      <c r="M3" s="5">
        <f t="shared" si="0"/>
        <v>2025.5000000000009</v>
      </c>
      <c r="N3" s="5">
        <f t="shared" si="0"/>
        <v>2891.5000000000009</v>
      </c>
      <c r="O3" s="5">
        <f t="shared" si="0"/>
        <v>3867.5</v>
      </c>
      <c r="P3" s="5"/>
    </row>
    <row r="4" spans="1:20" s="3" customFormat="1" x14ac:dyDescent="0.25">
      <c r="A4" s="3" t="s">
        <v>100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0" s="3" customFormat="1" x14ac:dyDescent="0.25">
      <c r="A5" s="3" t="s">
        <v>101</v>
      </c>
      <c r="B5" s="3" t="s">
        <v>116</v>
      </c>
      <c r="C5" s="3">
        <f>D5</f>
        <v>4000</v>
      </c>
      <c r="D5" s="5">
        <v>4000</v>
      </c>
      <c r="E5" s="5">
        <f>müügiprognoos!C12</f>
        <v>4035</v>
      </c>
      <c r="F5" s="5">
        <f>müügiprognoos!D12</f>
        <v>4130</v>
      </c>
      <c r="G5" s="5">
        <f>müügiprognoos!E12</f>
        <v>4225</v>
      </c>
      <c r="H5" s="5">
        <f>müügiprognoos!F12</f>
        <v>4320</v>
      </c>
      <c r="I5" s="5">
        <f>müügiprognoos!G12</f>
        <v>4415</v>
      </c>
      <c r="J5" s="5">
        <f>müügiprognoos!H12</f>
        <v>4510</v>
      </c>
      <c r="K5" s="5">
        <f>müügiprognoos!I12</f>
        <v>4605</v>
      </c>
      <c r="L5" s="5">
        <f>müügiprognoos!J12</f>
        <v>4700</v>
      </c>
      <c r="M5" s="5">
        <f>müügiprognoos!K12</f>
        <v>4840</v>
      </c>
      <c r="N5" s="5">
        <f>müügiprognoos!L12</f>
        <v>5030</v>
      </c>
      <c r="O5" s="5">
        <f>müügiprognoos!M12</f>
        <v>5220</v>
      </c>
      <c r="P5" s="5">
        <f>SUM(D5:O5)</f>
        <v>54030</v>
      </c>
      <c r="Q5" s="3">
        <f>müügiprognoos!N12</f>
        <v>5410</v>
      </c>
      <c r="R5" s="3" t="s">
        <v>111</v>
      </c>
      <c r="S5" s="3">
        <f>C5+müügiprognoos!O12-Q5-P5</f>
        <v>0</v>
      </c>
    </row>
    <row r="6" spans="1:20" s="3" customFormat="1" x14ac:dyDescent="0.25">
      <c r="A6" s="3" t="s">
        <v>102</v>
      </c>
      <c r="B6" s="3" t="s">
        <v>116</v>
      </c>
      <c r="C6" s="3">
        <f t="shared" ref="C6" si="1">D6</f>
        <v>800</v>
      </c>
      <c r="D6" s="5">
        <f>D5*20%</f>
        <v>800</v>
      </c>
      <c r="E6" s="5">
        <f>E5*20%</f>
        <v>807</v>
      </c>
      <c r="F6" s="5">
        <f t="shared" ref="F6:Q6" si="2">F5*20%</f>
        <v>826</v>
      </c>
      <c r="G6" s="5">
        <f t="shared" si="2"/>
        <v>845</v>
      </c>
      <c r="H6" s="5">
        <f t="shared" si="2"/>
        <v>864</v>
      </c>
      <c r="I6" s="5">
        <f t="shared" si="2"/>
        <v>883</v>
      </c>
      <c r="J6" s="5">
        <f t="shared" si="2"/>
        <v>902</v>
      </c>
      <c r="K6" s="5">
        <f t="shared" si="2"/>
        <v>921</v>
      </c>
      <c r="L6" s="5">
        <f t="shared" si="2"/>
        <v>940</v>
      </c>
      <c r="M6" s="5">
        <f t="shared" si="2"/>
        <v>968</v>
      </c>
      <c r="N6" s="5">
        <f t="shared" si="2"/>
        <v>1006</v>
      </c>
      <c r="O6" s="5">
        <f t="shared" si="2"/>
        <v>1044</v>
      </c>
      <c r="P6" s="5">
        <f t="shared" ref="P6" si="3">SUM(D6:O6)</f>
        <v>10806</v>
      </c>
      <c r="Q6" s="5">
        <f t="shared" si="2"/>
        <v>1082</v>
      </c>
      <c r="R6" s="3" t="s">
        <v>112</v>
      </c>
    </row>
    <row r="7" spans="1:20" s="2" customFormat="1" x14ac:dyDescent="0.25">
      <c r="A7" s="2" t="s">
        <v>103</v>
      </c>
      <c r="C7" s="2">
        <f>SUM(C5:C6)</f>
        <v>4800</v>
      </c>
      <c r="D7" s="2">
        <f t="shared" ref="D7:Q7" si="4">SUM(D5:D6)</f>
        <v>4800</v>
      </c>
      <c r="E7" s="2">
        <f t="shared" si="4"/>
        <v>4842</v>
      </c>
      <c r="F7" s="2">
        <f t="shared" si="4"/>
        <v>4956</v>
      </c>
      <c r="G7" s="2">
        <f t="shared" si="4"/>
        <v>5070</v>
      </c>
      <c r="H7" s="2">
        <f t="shared" si="4"/>
        <v>5184</v>
      </c>
      <c r="I7" s="2">
        <f t="shared" si="4"/>
        <v>5298</v>
      </c>
      <c r="J7" s="2">
        <f t="shared" si="4"/>
        <v>5412</v>
      </c>
      <c r="K7" s="2">
        <f t="shared" si="4"/>
        <v>5526</v>
      </c>
      <c r="L7" s="2">
        <f t="shared" si="4"/>
        <v>5640</v>
      </c>
      <c r="M7" s="2">
        <f t="shared" si="4"/>
        <v>5808</v>
      </c>
      <c r="N7" s="2">
        <f t="shared" si="4"/>
        <v>6036</v>
      </c>
      <c r="O7" s="2">
        <f t="shared" si="4"/>
        <v>6264</v>
      </c>
      <c r="P7" s="2">
        <f t="shared" si="4"/>
        <v>64836</v>
      </c>
      <c r="Q7" s="2">
        <f t="shared" si="4"/>
        <v>6492</v>
      </c>
      <c r="T7" s="2">
        <f>C7-Q7</f>
        <v>-1692</v>
      </c>
    </row>
    <row r="8" spans="1:20" s="3" customFormat="1" x14ac:dyDescent="0.25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0" s="3" customFormat="1" x14ac:dyDescent="0.25">
      <c r="A9" s="3" t="s">
        <v>104</v>
      </c>
      <c r="B9" s="3" t="s">
        <v>116</v>
      </c>
      <c r="C9" s="3">
        <f>D9</f>
        <v>453</v>
      </c>
      <c r="D9" s="5">
        <f>tegevuskulud!C24</f>
        <v>453</v>
      </c>
      <c r="E9" s="5">
        <f>tegevuskulud!D24</f>
        <v>482</v>
      </c>
      <c r="F9" s="5">
        <f>E9</f>
        <v>482</v>
      </c>
      <c r="G9" s="5">
        <f t="shared" ref="G9:O9" si="5">F9</f>
        <v>482</v>
      </c>
      <c r="H9" s="5">
        <f t="shared" si="5"/>
        <v>482</v>
      </c>
      <c r="I9" s="5">
        <f t="shared" si="5"/>
        <v>482</v>
      </c>
      <c r="J9" s="5">
        <f t="shared" si="5"/>
        <v>482</v>
      </c>
      <c r="K9" s="5">
        <f t="shared" si="5"/>
        <v>482</v>
      </c>
      <c r="L9" s="5">
        <f t="shared" si="5"/>
        <v>482</v>
      </c>
      <c r="M9" s="5">
        <f t="shared" si="5"/>
        <v>482</v>
      </c>
      <c r="N9" s="5">
        <f t="shared" si="5"/>
        <v>482</v>
      </c>
      <c r="O9" s="5">
        <f t="shared" si="5"/>
        <v>482</v>
      </c>
      <c r="P9" s="5">
        <f>SUM(D9:O9)</f>
        <v>5755</v>
      </c>
      <c r="Q9" s="3">
        <f>O9</f>
        <v>482</v>
      </c>
      <c r="R9" s="3" t="s">
        <v>113</v>
      </c>
    </row>
    <row r="10" spans="1:20" s="3" customFormat="1" x14ac:dyDescent="0.25">
      <c r="A10" s="3" t="s">
        <v>110</v>
      </c>
      <c r="B10" s="3" t="s">
        <v>117</v>
      </c>
      <c r="C10" s="3">
        <f>D10*2</f>
        <v>352</v>
      </c>
      <c r="D10" s="5">
        <f>tegevuskulud!C25</f>
        <v>176</v>
      </c>
      <c r="E10" s="5">
        <f>D10</f>
        <v>176</v>
      </c>
      <c r="F10" s="5">
        <f>tegevuskulud!D25</f>
        <v>187</v>
      </c>
      <c r="G10" s="5">
        <f>F10</f>
        <v>187</v>
      </c>
      <c r="H10" s="5">
        <f t="shared" ref="H10:O10" si="6">G10</f>
        <v>187</v>
      </c>
      <c r="I10" s="5">
        <f t="shared" si="6"/>
        <v>187</v>
      </c>
      <c r="J10" s="5">
        <f t="shared" si="6"/>
        <v>187</v>
      </c>
      <c r="K10" s="5">
        <f t="shared" si="6"/>
        <v>187</v>
      </c>
      <c r="L10" s="5">
        <f t="shared" si="6"/>
        <v>187</v>
      </c>
      <c r="M10" s="5">
        <f t="shared" si="6"/>
        <v>187</v>
      </c>
      <c r="N10" s="5">
        <f t="shared" si="6"/>
        <v>187</v>
      </c>
      <c r="O10" s="5">
        <f t="shared" si="6"/>
        <v>187</v>
      </c>
      <c r="P10" s="5">
        <f>SUM(D10:O10)</f>
        <v>2222</v>
      </c>
      <c r="Q10" s="3">
        <f>O10*2</f>
        <v>374</v>
      </c>
      <c r="R10" s="3" t="s">
        <v>114</v>
      </c>
    </row>
    <row r="11" spans="1:20" s="2" customFormat="1" x14ac:dyDescent="0.25">
      <c r="A11" s="2" t="s">
        <v>115</v>
      </c>
      <c r="C11" s="2">
        <f>SUM(C9:C10)</f>
        <v>805</v>
      </c>
      <c r="D11" s="2">
        <f t="shared" ref="D11:Q11" si="7">SUM(D9:D10)</f>
        <v>629</v>
      </c>
      <c r="E11" s="2">
        <f t="shared" si="7"/>
        <v>658</v>
      </c>
      <c r="F11" s="2">
        <f t="shared" si="7"/>
        <v>669</v>
      </c>
      <c r="G11" s="2">
        <f t="shared" si="7"/>
        <v>669</v>
      </c>
      <c r="H11" s="2">
        <f t="shared" si="7"/>
        <v>669</v>
      </c>
      <c r="I11" s="2">
        <f t="shared" si="7"/>
        <v>669</v>
      </c>
      <c r="J11" s="2">
        <f t="shared" si="7"/>
        <v>669</v>
      </c>
      <c r="K11" s="2">
        <f t="shared" si="7"/>
        <v>669</v>
      </c>
      <c r="L11" s="2">
        <f t="shared" si="7"/>
        <v>669</v>
      </c>
      <c r="M11" s="2">
        <f t="shared" si="7"/>
        <v>669</v>
      </c>
      <c r="N11" s="2">
        <f t="shared" si="7"/>
        <v>669</v>
      </c>
      <c r="O11" s="2">
        <f t="shared" si="7"/>
        <v>669</v>
      </c>
      <c r="P11" s="2">
        <f t="shared" si="7"/>
        <v>7977</v>
      </c>
      <c r="Q11" s="2">
        <f t="shared" si="7"/>
        <v>856</v>
      </c>
      <c r="S11" s="2">
        <f>C11+tegevuskulud!P5-Q11-P11</f>
        <v>0</v>
      </c>
      <c r="T11" s="2">
        <f>Q11-C11</f>
        <v>51</v>
      </c>
    </row>
    <row r="12" spans="1:20" s="3" customFormat="1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s="3" customFormat="1" x14ac:dyDescent="0.25">
      <c r="A13" s="3" t="s">
        <v>145</v>
      </c>
      <c r="B13" s="3" t="s">
        <v>116</v>
      </c>
      <c r="C13" s="3">
        <f>D13</f>
        <v>1054.1666666666667</v>
      </c>
      <c r="D13" s="5">
        <f>(tegevuskulud!C11+tegevuskulud!C17+tegevuskulud!C20)/12</f>
        <v>1054.1666666666667</v>
      </c>
      <c r="E13" s="5">
        <f>tegevuskulud!D11+tegevuskulud!D17+tegevuskulud!D20</f>
        <v>1105</v>
      </c>
      <c r="F13" s="5">
        <f>tegevuskulud!E11+tegevuskulud!E17+tegevuskulud!E20</f>
        <v>1105</v>
      </c>
      <c r="G13" s="5">
        <f>tegevuskulud!F11+tegevuskulud!F17+tegevuskulud!F20</f>
        <v>1105</v>
      </c>
      <c r="H13" s="5">
        <f>tegevuskulud!G11+tegevuskulud!G17+tegevuskulud!G20</f>
        <v>1105</v>
      </c>
      <c r="I13" s="5">
        <f>tegevuskulud!H11+tegevuskulud!H17+tegevuskulud!H20</f>
        <v>1105</v>
      </c>
      <c r="J13" s="5">
        <f>tegevuskulud!I11+tegevuskulud!I17+tegevuskulud!I20</f>
        <v>1105</v>
      </c>
      <c r="K13" s="5">
        <f>tegevuskulud!J11+tegevuskulud!J17+tegevuskulud!J20</f>
        <v>1105</v>
      </c>
      <c r="L13" s="5">
        <f>tegevuskulud!K11+tegevuskulud!K17+tegevuskulud!K20</f>
        <v>1105</v>
      </c>
      <c r="M13" s="5">
        <f>tegevuskulud!L11+tegevuskulud!L17+tegevuskulud!L20</f>
        <v>1105</v>
      </c>
      <c r="N13" s="5">
        <f>tegevuskulud!M11+tegevuskulud!M17+tegevuskulud!M20</f>
        <v>1105</v>
      </c>
      <c r="O13" s="5">
        <f>tegevuskulud!N11+tegevuskulud!N17+tegevuskulud!N20</f>
        <v>1105</v>
      </c>
      <c r="P13" s="5">
        <f>SUM(D13:O13)</f>
        <v>13209.166666666668</v>
      </c>
      <c r="Q13" s="5">
        <f>tegevuskulud!O11+tegevuskulud!O17+tegevuskulud!O20</f>
        <v>1105</v>
      </c>
      <c r="S13" s="3">
        <f>tegevuskulud!P11+tegevuskulud!P17+tegevuskulud!P20+C13-Q13-P13</f>
        <v>0</v>
      </c>
    </row>
    <row r="14" spans="1:20" s="3" customFormat="1" x14ac:dyDescent="0.25">
      <c r="A14" s="3" t="s">
        <v>118</v>
      </c>
      <c r="B14" s="3" t="s">
        <v>116</v>
      </c>
      <c r="C14" s="3">
        <f t="shared" ref="C14" si="8">D14</f>
        <v>210.83333333333337</v>
      </c>
      <c r="D14" s="5">
        <f t="shared" ref="D14:O14" si="9">D13*20%</f>
        <v>210.83333333333337</v>
      </c>
      <c r="E14" s="5">
        <f t="shared" si="9"/>
        <v>221</v>
      </c>
      <c r="F14" s="5">
        <f t="shared" si="9"/>
        <v>221</v>
      </c>
      <c r="G14" s="5">
        <f t="shared" si="9"/>
        <v>221</v>
      </c>
      <c r="H14" s="5">
        <f t="shared" si="9"/>
        <v>221</v>
      </c>
      <c r="I14" s="5">
        <f t="shared" si="9"/>
        <v>221</v>
      </c>
      <c r="J14" s="5">
        <f t="shared" si="9"/>
        <v>221</v>
      </c>
      <c r="K14" s="5">
        <f t="shared" si="9"/>
        <v>221</v>
      </c>
      <c r="L14" s="5">
        <f t="shared" si="9"/>
        <v>221</v>
      </c>
      <c r="M14" s="5">
        <f t="shared" si="9"/>
        <v>221</v>
      </c>
      <c r="N14" s="5">
        <f t="shared" si="9"/>
        <v>221</v>
      </c>
      <c r="O14" s="5">
        <f t="shared" si="9"/>
        <v>221</v>
      </c>
      <c r="P14" s="5">
        <f>SUM(D14:O14)</f>
        <v>2641.8333333333335</v>
      </c>
      <c r="Q14" s="5">
        <f>Q13*20%</f>
        <v>221</v>
      </c>
    </row>
    <row r="15" spans="1:20" s="1" customFormat="1" x14ac:dyDescent="0.25">
      <c r="A15" s="2" t="s">
        <v>119</v>
      </c>
      <c r="B15" s="2"/>
      <c r="C15" s="2">
        <f>SUM(C13:C14)</f>
        <v>1265</v>
      </c>
      <c r="D15" s="2">
        <f t="shared" ref="D15:Q15" si="10">SUM(D13:D14)</f>
        <v>1265</v>
      </c>
      <c r="E15" s="2">
        <f t="shared" si="10"/>
        <v>1326</v>
      </c>
      <c r="F15" s="2">
        <f t="shared" si="10"/>
        <v>1326</v>
      </c>
      <c r="G15" s="2">
        <f t="shared" si="10"/>
        <v>1326</v>
      </c>
      <c r="H15" s="2">
        <f t="shared" si="10"/>
        <v>1326</v>
      </c>
      <c r="I15" s="2">
        <f t="shared" si="10"/>
        <v>1326</v>
      </c>
      <c r="J15" s="2">
        <f t="shared" si="10"/>
        <v>1326</v>
      </c>
      <c r="K15" s="2">
        <f t="shared" si="10"/>
        <v>1326</v>
      </c>
      <c r="L15" s="2">
        <f t="shared" si="10"/>
        <v>1326</v>
      </c>
      <c r="M15" s="2">
        <f t="shared" si="10"/>
        <v>1326</v>
      </c>
      <c r="N15" s="2">
        <f t="shared" si="10"/>
        <v>1326</v>
      </c>
      <c r="O15" s="2">
        <f t="shared" si="10"/>
        <v>1326</v>
      </c>
      <c r="P15" s="2">
        <f t="shared" si="10"/>
        <v>15851.000000000002</v>
      </c>
      <c r="Q15" s="2">
        <f t="shared" si="10"/>
        <v>1326</v>
      </c>
      <c r="T15" s="2">
        <f>Q15-C15</f>
        <v>61</v>
      </c>
    </row>
    <row r="17" spans="1:20" s="3" customFormat="1" x14ac:dyDescent="0.25">
      <c r="A17" s="3" t="s">
        <v>126</v>
      </c>
      <c r="B17" s="3" t="s">
        <v>116</v>
      </c>
      <c r="C17" s="5">
        <f>D17</f>
        <v>1740</v>
      </c>
      <c r="D17" s="5">
        <f>'kaubakulu ja varud'!D12</f>
        <v>1740</v>
      </c>
      <c r="E17" s="5">
        <f>'kaubakulu ja varud'!C16</f>
        <v>1780</v>
      </c>
      <c r="F17" s="5">
        <f>'kaubakulu ja varud'!D16</f>
        <v>1820</v>
      </c>
      <c r="G17" s="5">
        <f>'kaubakulu ja varud'!E16</f>
        <v>1860</v>
      </c>
      <c r="H17" s="5">
        <f>'kaubakulu ja varud'!F16</f>
        <v>1900</v>
      </c>
      <c r="I17" s="5">
        <f>'kaubakulu ja varud'!G16</f>
        <v>1940</v>
      </c>
      <c r="J17" s="5">
        <f>'kaubakulu ja varud'!H16</f>
        <v>1980</v>
      </c>
      <c r="K17" s="5">
        <f>'kaubakulu ja varud'!I16</f>
        <v>2040</v>
      </c>
      <c r="L17" s="5">
        <f>'kaubakulu ja varud'!J16</f>
        <v>2120</v>
      </c>
      <c r="M17" s="5">
        <f>'kaubakulu ja varud'!K16</f>
        <v>2200</v>
      </c>
      <c r="N17" s="5">
        <f>'kaubakulu ja varud'!L16</f>
        <v>2280</v>
      </c>
      <c r="O17" s="5">
        <f>'kaubakulu ja varud'!M16</f>
        <v>2371.2000000000003</v>
      </c>
      <c r="P17" s="5">
        <f>SUM(D17:O17)</f>
        <v>24031.200000000001</v>
      </c>
      <c r="Q17" s="5">
        <f>'kaubakulu ja varud'!N16</f>
        <v>2466.0480000000002</v>
      </c>
      <c r="S17" s="3">
        <f>'kaubakulu ja varud'!P16+C17-Q17-P17</f>
        <v>0</v>
      </c>
    </row>
    <row r="18" spans="1:20" s="3" customFormat="1" x14ac:dyDescent="0.25">
      <c r="A18" s="3" t="s">
        <v>127</v>
      </c>
      <c r="B18" s="3" t="s">
        <v>116</v>
      </c>
      <c r="C18" s="3">
        <f>D18</f>
        <v>348</v>
      </c>
      <c r="D18" s="3">
        <f t="shared" ref="D18:O18" si="11">D17*20%</f>
        <v>348</v>
      </c>
      <c r="E18" s="3">
        <f t="shared" si="11"/>
        <v>356</v>
      </c>
      <c r="F18" s="3">
        <f t="shared" si="11"/>
        <v>364</v>
      </c>
      <c r="G18" s="3">
        <f t="shared" si="11"/>
        <v>372</v>
      </c>
      <c r="H18" s="3">
        <f t="shared" si="11"/>
        <v>380</v>
      </c>
      <c r="I18" s="3">
        <f t="shared" si="11"/>
        <v>388</v>
      </c>
      <c r="J18" s="3">
        <f t="shared" si="11"/>
        <v>396</v>
      </c>
      <c r="K18" s="3">
        <f t="shared" si="11"/>
        <v>408</v>
      </c>
      <c r="L18" s="3">
        <f t="shared" si="11"/>
        <v>424</v>
      </c>
      <c r="M18" s="3">
        <f t="shared" si="11"/>
        <v>440</v>
      </c>
      <c r="N18" s="3">
        <f t="shared" si="11"/>
        <v>456</v>
      </c>
      <c r="O18" s="3">
        <f t="shared" si="11"/>
        <v>474.24000000000007</v>
      </c>
      <c r="P18" s="5">
        <f>SUM(D18:O18)</f>
        <v>4806.24</v>
      </c>
      <c r="Q18" s="3">
        <f>Q17*20%</f>
        <v>493.20960000000008</v>
      </c>
    </row>
    <row r="19" spans="1:20" s="3" customFormat="1" x14ac:dyDescent="0.25">
      <c r="A19" s="2" t="s">
        <v>129</v>
      </c>
      <c r="C19" s="2">
        <f>SUM(C17:C18)</f>
        <v>2088</v>
      </c>
      <c r="D19" s="2">
        <f t="shared" ref="D19:Q19" si="12">SUM(D17:D18)</f>
        <v>2088</v>
      </c>
      <c r="E19" s="2">
        <f t="shared" si="12"/>
        <v>2136</v>
      </c>
      <c r="F19" s="2">
        <f t="shared" si="12"/>
        <v>2184</v>
      </c>
      <c r="G19" s="2">
        <f t="shared" si="12"/>
        <v>2232</v>
      </c>
      <c r="H19" s="2">
        <f t="shared" si="12"/>
        <v>2280</v>
      </c>
      <c r="I19" s="2">
        <f t="shared" si="12"/>
        <v>2328</v>
      </c>
      <c r="J19" s="2">
        <f t="shared" si="12"/>
        <v>2376</v>
      </c>
      <c r="K19" s="2">
        <f t="shared" si="12"/>
        <v>2448</v>
      </c>
      <c r="L19" s="2">
        <f t="shared" si="12"/>
        <v>2544</v>
      </c>
      <c r="M19" s="2">
        <f t="shared" si="12"/>
        <v>2640</v>
      </c>
      <c r="N19" s="2">
        <f t="shared" si="12"/>
        <v>2736</v>
      </c>
      <c r="O19" s="2">
        <f t="shared" si="12"/>
        <v>2845.4400000000005</v>
      </c>
      <c r="P19" s="2">
        <f t="shared" si="12"/>
        <v>28837.440000000002</v>
      </c>
      <c r="Q19" s="2">
        <f t="shared" si="12"/>
        <v>2959.2576000000004</v>
      </c>
      <c r="T19" s="2">
        <f>Q19-C19</f>
        <v>871.25760000000037</v>
      </c>
    </row>
    <row r="20" spans="1:20" s="3" customFormat="1" x14ac:dyDescent="0.25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20" x14ac:dyDescent="0.25">
      <c r="A21" s="3" t="s">
        <v>142</v>
      </c>
      <c r="B21" s="3" t="s">
        <v>116</v>
      </c>
      <c r="F21" s="5">
        <f>investeeringud!D5</f>
        <v>5000</v>
      </c>
    </row>
    <row r="22" spans="1:20" x14ac:dyDescent="0.25">
      <c r="A22" s="3" t="s">
        <v>143</v>
      </c>
      <c r="B22" s="3" t="s">
        <v>116</v>
      </c>
      <c r="F22" s="5">
        <f>F21*20%</f>
        <v>1000</v>
      </c>
    </row>
    <row r="23" spans="1:20" s="1" customFormat="1" x14ac:dyDescent="0.25">
      <c r="A23" s="2" t="s">
        <v>144</v>
      </c>
      <c r="D23" s="4"/>
      <c r="E23" s="4"/>
      <c r="F23" s="4">
        <f>SUM(F21:F22)</f>
        <v>6000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20" s="1" customFormat="1" x14ac:dyDescent="0.25">
      <c r="A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20" s="25" customFormat="1" x14ac:dyDescent="0.25">
      <c r="A25" s="24" t="s">
        <v>149</v>
      </c>
      <c r="D25" s="26"/>
      <c r="E25" s="26"/>
      <c r="F25" s="26">
        <v>2500</v>
      </c>
      <c r="G25" s="26"/>
      <c r="H25" s="26">
        <v>-500</v>
      </c>
      <c r="I25" s="26">
        <v>-500</v>
      </c>
      <c r="J25" s="26">
        <v>-500</v>
      </c>
      <c r="K25" s="26">
        <v>-500</v>
      </c>
      <c r="L25" s="26">
        <v>-500</v>
      </c>
      <c r="M25" s="26"/>
      <c r="N25" s="26"/>
      <c r="O25" s="26"/>
      <c r="P25" s="5">
        <f>SUM(D25:O25)</f>
        <v>0</v>
      </c>
    </row>
    <row r="26" spans="1:20" s="25" customFormat="1" x14ac:dyDescent="0.25">
      <c r="A26" s="24" t="s">
        <v>150</v>
      </c>
      <c r="B26" s="25" t="s">
        <v>155</v>
      </c>
      <c r="D26" s="26"/>
      <c r="E26" s="26"/>
      <c r="F26" s="26">
        <f>-F25*10%/12</f>
        <v>-20.833333333333332</v>
      </c>
      <c r="G26" s="26">
        <f>-F25*10%/12</f>
        <v>-20.833333333333332</v>
      </c>
      <c r="H26" s="26">
        <f>-($F$25+H25)*10%/12</f>
        <v>-16.666666666666668</v>
      </c>
      <c r="I26" s="26">
        <f>-($F$25+I25+H25)*10%/12</f>
        <v>-12.5</v>
      </c>
      <c r="J26" s="26">
        <f>-($F$25+J25+I25+H25)*10%/12</f>
        <v>-8.3333333333333339</v>
      </c>
      <c r="K26" s="26">
        <f>-($F$25+K25+J25+I25+H25)*10%/12</f>
        <v>-4.166666666666667</v>
      </c>
      <c r="L26" s="26">
        <f>-($F$25+L25+K25+J25+I25+H25)*10%/12</f>
        <v>0</v>
      </c>
      <c r="M26" s="26"/>
      <c r="N26" s="26"/>
      <c r="O26" s="26"/>
      <c r="P26" s="5">
        <f>SUM(D26:O26)</f>
        <v>-83.333333333333329</v>
      </c>
    </row>
    <row r="27" spans="1:20" s="28" customFormat="1" x14ac:dyDescent="0.25">
      <c r="A27" s="27" t="s">
        <v>151</v>
      </c>
      <c r="D27" s="29"/>
      <c r="E27" s="29"/>
      <c r="F27" s="29">
        <f>SUM(F25:F26)</f>
        <v>2479.1666666666665</v>
      </c>
      <c r="G27" s="29">
        <f t="shared" ref="G27:P27" si="13">SUM(G25:G26)</f>
        <v>-20.833333333333332</v>
      </c>
      <c r="H27" s="29">
        <f t="shared" si="13"/>
        <v>-516.66666666666663</v>
      </c>
      <c r="I27" s="29">
        <f t="shared" si="13"/>
        <v>-512.5</v>
      </c>
      <c r="J27" s="29">
        <f t="shared" si="13"/>
        <v>-508.33333333333331</v>
      </c>
      <c r="K27" s="29">
        <f t="shared" si="13"/>
        <v>-504.16666666666669</v>
      </c>
      <c r="L27" s="29">
        <f t="shared" si="13"/>
        <v>-500</v>
      </c>
      <c r="M27" s="29">
        <f t="shared" si="13"/>
        <v>0</v>
      </c>
      <c r="N27" s="29">
        <f t="shared" si="13"/>
        <v>0</v>
      </c>
      <c r="O27" s="29">
        <f t="shared" si="13"/>
        <v>0</v>
      </c>
      <c r="P27" s="29">
        <f t="shared" si="13"/>
        <v>-83.333333333333329</v>
      </c>
    </row>
    <row r="28" spans="1:20" x14ac:dyDescent="0.25">
      <c r="A28" s="3"/>
    </row>
    <row r="29" spans="1:20" s="3" customFormat="1" x14ac:dyDescent="0.25">
      <c r="A29" s="3" t="s">
        <v>148</v>
      </c>
      <c r="B29" s="3" t="s">
        <v>116</v>
      </c>
      <c r="C29" s="3">
        <f>C6-C14-C18-C22</f>
        <v>241.16666666666663</v>
      </c>
      <c r="D29" s="3">
        <f t="shared" ref="D29:Q29" si="14">D6-D14-D18-D22</f>
        <v>241.16666666666663</v>
      </c>
      <c r="E29" s="3">
        <f t="shared" si="14"/>
        <v>230</v>
      </c>
      <c r="F29" s="3">
        <f>F6-F14-F18-F22</f>
        <v>-759</v>
      </c>
      <c r="G29" s="3">
        <f t="shared" si="14"/>
        <v>252</v>
      </c>
      <c r="H29" s="3">
        <f t="shared" si="14"/>
        <v>263</v>
      </c>
      <c r="I29" s="3">
        <f t="shared" si="14"/>
        <v>274</v>
      </c>
      <c r="J29" s="3">
        <f t="shared" si="14"/>
        <v>285</v>
      </c>
      <c r="K29" s="3">
        <f t="shared" si="14"/>
        <v>292</v>
      </c>
      <c r="L29" s="3">
        <f t="shared" si="14"/>
        <v>295</v>
      </c>
      <c r="M29" s="3">
        <f t="shared" si="14"/>
        <v>307</v>
      </c>
      <c r="N29" s="3">
        <f t="shared" si="14"/>
        <v>329</v>
      </c>
      <c r="O29" s="3">
        <f t="shared" si="14"/>
        <v>348.75999999999993</v>
      </c>
      <c r="P29" s="3">
        <f t="shared" si="14"/>
        <v>3357.9266666666663</v>
      </c>
      <c r="Q29" s="3">
        <f t="shared" si="14"/>
        <v>367.79039999999992</v>
      </c>
      <c r="T29" s="2">
        <f>Q29-C29</f>
        <v>126.62373333333329</v>
      </c>
    </row>
    <row r="30" spans="1:20" s="3" customFormat="1" x14ac:dyDescent="0.25"/>
    <row r="31" spans="1:20" s="1" customFormat="1" x14ac:dyDescent="0.25">
      <c r="A31" s="1" t="s">
        <v>80</v>
      </c>
      <c r="C31" s="2"/>
      <c r="D31" s="2">
        <f t="shared" ref="D31:O31" si="15">D3+D7-D11-D15-D19-D23-D29+D25+D26</f>
        <v>1789.8333333333335</v>
      </c>
      <c r="E31" s="2">
        <f t="shared" si="15"/>
        <v>2281.8333333333339</v>
      </c>
      <c r="F31" s="2">
        <f>F3+F7-F11-F15-F19-F23-F29+F25+F26</f>
        <v>297.00000000000063</v>
      </c>
      <c r="G31" s="2">
        <f t="shared" si="15"/>
        <v>867.16666666666754</v>
      </c>
      <c r="H31" s="2">
        <f t="shared" si="15"/>
        <v>996.50000000000125</v>
      </c>
      <c r="I31" s="2">
        <f t="shared" si="15"/>
        <v>1185.0000000000009</v>
      </c>
      <c r="J31" s="2">
        <f t="shared" si="15"/>
        <v>1432.6666666666677</v>
      </c>
      <c r="K31" s="2">
        <f t="shared" si="15"/>
        <v>1719.5000000000011</v>
      </c>
      <c r="L31" s="2">
        <f t="shared" si="15"/>
        <v>2025.5000000000009</v>
      </c>
      <c r="M31" s="2">
        <f t="shared" si="15"/>
        <v>2891.5000000000009</v>
      </c>
      <c r="N31" s="2">
        <f t="shared" si="15"/>
        <v>3867.5</v>
      </c>
      <c r="O31" s="2">
        <f t="shared" si="15"/>
        <v>4942.2999999999993</v>
      </c>
      <c r="P31" s="2"/>
      <c r="Q31" s="2"/>
    </row>
    <row r="33" spans="4:15" x14ac:dyDescent="0.25">
      <c r="D33" s="5">
        <f>D29+D18+D14-D6</f>
        <v>0</v>
      </c>
      <c r="E33" s="5">
        <f t="shared" ref="E33:O33" si="16">E29+E18+E14-E6</f>
        <v>0</v>
      </c>
      <c r="F33" s="5">
        <f>F29+F18+F14-F6+F22</f>
        <v>0</v>
      </c>
      <c r="G33" s="5">
        <f t="shared" si="16"/>
        <v>0</v>
      </c>
      <c r="H33" s="5">
        <f t="shared" si="16"/>
        <v>0</v>
      </c>
      <c r="I33" s="5">
        <f t="shared" si="16"/>
        <v>0</v>
      </c>
      <c r="J33" s="5">
        <f t="shared" si="16"/>
        <v>0</v>
      </c>
      <c r="K33" s="5">
        <f t="shared" si="16"/>
        <v>0</v>
      </c>
      <c r="L33" s="5">
        <f t="shared" si="16"/>
        <v>0</v>
      </c>
      <c r="M33" s="5">
        <f t="shared" si="16"/>
        <v>0</v>
      </c>
      <c r="N33" s="5">
        <f t="shared" si="16"/>
        <v>0</v>
      </c>
      <c r="O33" s="5">
        <f t="shared" si="16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eeldused</vt:lpstr>
      <vt:lpstr>aruanded</vt:lpstr>
      <vt:lpstr>2018 detailne KA</vt:lpstr>
      <vt:lpstr>müügiprognoos</vt:lpstr>
      <vt:lpstr>kaubakulu ja varud</vt:lpstr>
      <vt:lpstr>tegevuskulud</vt:lpstr>
      <vt:lpstr>investeeringud</vt:lpstr>
      <vt:lpstr>rahakäive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</dc:creator>
  <cp:lastModifiedBy>Krista Teearu</cp:lastModifiedBy>
  <dcterms:created xsi:type="dcterms:W3CDTF">2017-11-19T18:46:33Z</dcterms:created>
  <dcterms:modified xsi:type="dcterms:W3CDTF">2017-11-28T11:28:17Z</dcterms:modified>
</cp:coreProperties>
</file>